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2020\CIP City\406 - Water Replacement\Bellvue BWS and BWR Pump Improvements\B. Purchasing\2. Bid Docs\b. Design\"/>
    </mc:Choice>
  </mc:AlternateContent>
  <bookViews>
    <workbookView xWindow="0" yWindow="0" windowWidth="11220" windowHeight="5100"/>
  </bookViews>
  <sheets>
    <sheet name="Pump Info" sheetId="1" r:id="rId1"/>
    <sheet name="Pump Curve Scans" sheetId="2" r:id="rId2"/>
    <sheet name="BWR Sys Curve - Existing" sheetId="3" r:id="rId3"/>
    <sheet name="BWR Sys Curve - Rep w 24&quot; IPS" sheetId="4" r:id="rId4"/>
    <sheet name="BWR Sys Curve - Rep w 24&quot; DIPS" sheetId="5" r:id="rId5"/>
    <sheet name="System and Pumping Curves" sheetId="6" r:id="rId6"/>
    <sheet name="Recovery Wet Well Calcs" sheetId="7" r:id="rId7"/>
    <sheet name="HI Standard" sheetId="8" r:id="rId8"/>
    <sheet name="BPS Drawings" sheetId="9" r:id="rId9"/>
    <sheet name="EQ Basin Cad Image" sheetId="10" r:id="rId10"/>
    <sheet name="BWR Sys Curve - Replace 20&quot; Sec" sheetId="11" r:id="rId11"/>
  </sheets>
  <externalReferences>
    <externalReference r:id="rId12"/>
    <externalReference r:id="rId13"/>
  </externalReferences>
  <definedNames>
    <definedName name="\p" localSheetId="2">#REF!</definedName>
    <definedName name="\p" localSheetId="4">#REF!</definedName>
    <definedName name="\p">#REF!</definedName>
    <definedName name="__SH1" localSheetId="2">'[1]Pump Selection'!#REF!</definedName>
    <definedName name="__SH1" localSheetId="4">'[1]Pump Selection'!#REF!</definedName>
    <definedName name="__SH1">'[1]Pump Selection'!#REF!</definedName>
    <definedName name="__SH2" localSheetId="2">'[1]Pump Selection'!#REF!</definedName>
    <definedName name="__SH2" localSheetId="4">'[1]Pump Selection'!#REF!</definedName>
    <definedName name="__SH2">'[1]Pump Selection'!#REF!</definedName>
    <definedName name="_SH1" localSheetId="2">'[1]Pump Selection'!#REF!</definedName>
    <definedName name="_SH1" localSheetId="4">'[1]Pump Selection'!#REF!</definedName>
    <definedName name="_SH1">'[1]Pump Selection'!#REF!</definedName>
    <definedName name="_SH2" localSheetId="2">'[1]Pump Selection'!#REF!</definedName>
    <definedName name="_SH2" localSheetId="4">'[1]Pump Selection'!#REF!</definedName>
    <definedName name="_SH2">'[1]Pump Selection'!#REF!</definedName>
    <definedName name="FMD">'[1]Pump Selection'!$H$4</definedName>
    <definedName name="fmdia" localSheetId="2">#REF!</definedName>
    <definedName name="fmdia" localSheetId="4">#REF!</definedName>
    <definedName name="fmdia">#REF!</definedName>
    <definedName name="FMEL">'[1]Pump Selection'!$H$5</definedName>
    <definedName name="FMHP" localSheetId="2">'[1]Pump Selection'!#REF!</definedName>
    <definedName name="FMHP" localSheetId="4">'[1]Pump Selection'!#REF!</definedName>
    <definedName name="FMHP">'[1]Pump Selection'!#REF!</definedName>
    <definedName name="HELLO2" localSheetId="2">#REF!</definedName>
    <definedName name="HELLO2" localSheetId="4">#REF!</definedName>
    <definedName name="HELLO2">#REF!</definedName>
    <definedName name="HELLO3" localSheetId="2">#REF!</definedName>
    <definedName name="HELLO3" localSheetId="4">#REF!</definedName>
    <definedName name="HELLO3">#REF!</definedName>
    <definedName name="HWC">'[1]Pump Selection'!$H$6</definedName>
    <definedName name="MACROS" localSheetId="2">#REF!</definedName>
    <definedName name="MACROS" localSheetId="4">#REF!</definedName>
    <definedName name="MACROS">#REF!</definedName>
    <definedName name="PumpOff">'[2]Cycle Time &amp; Wet Well Geometry'!$G$32</definedName>
    <definedName name="QPump">'[1]Design Pumping Flow Rate - NA '!$F$27</definedName>
    <definedName name="WWP">'[1]Force Main &amp; Piping Design'!$E$19</definedName>
    <definedName name="Z_DD12DCA6_AC95_44E9_85FD_88104CF4D155_.wvu.Rows" localSheetId="0" hidden="1">'Pump Info'!$23:$36</definedName>
  </definedNames>
  <calcPr calcId="162913"/>
  <customWorkbookViews>
    <customWorkbookView name="Peter Champion - Personal View" guid="{DD12DCA6-AC95-44E9-85FD-88104CF4D155}" mergeInterval="0" personalView="1" maximized="1" xWindow="-8" yWindow="-8" windowWidth="1936" windowHeight="1056" activeSheetId="11"/>
  </customWorkbookViews>
</workbook>
</file>

<file path=xl/calcChain.xml><?xml version="1.0" encoding="utf-8"?>
<calcChain xmlns="http://schemas.openxmlformats.org/spreadsheetml/2006/main">
  <c r="P15" i="11" l="1"/>
  <c r="P10" i="11"/>
  <c r="H38" i="7" l="1"/>
  <c r="F56" i="5"/>
  <c r="B56" i="5"/>
  <c r="R56" i="4"/>
  <c r="N56" i="4"/>
  <c r="J56" i="4"/>
  <c r="F56" i="4"/>
  <c r="B56" i="4"/>
  <c r="AF10" i="3" l="1"/>
  <c r="C8" i="5" l="1"/>
  <c r="C8" i="4"/>
  <c r="C9" i="3"/>
  <c r="C8" i="3"/>
  <c r="AL9" i="3" s="1"/>
  <c r="N56" i="3"/>
  <c r="J56" i="3"/>
  <c r="F56" i="3"/>
  <c r="B56" i="3"/>
  <c r="AI54" i="3"/>
  <c r="AG54" i="3"/>
  <c r="AF54" i="3"/>
  <c r="W54" i="3"/>
  <c r="V54" i="3"/>
  <c r="U54" i="3"/>
  <c r="T54" i="3"/>
  <c r="S54" i="3"/>
  <c r="AI53" i="3"/>
  <c r="AG53" i="3"/>
  <c r="AF53" i="3"/>
  <c r="W53" i="3"/>
  <c r="V53" i="3"/>
  <c r="U53" i="3"/>
  <c r="T53" i="3"/>
  <c r="S53" i="3"/>
  <c r="AI52" i="3"/>
  <c r="AG52" i="3"/>
  <c r="AF52" i="3"/>
  <c r="W52" i="3"/>
  <c r="V52" i="3"/>
  <c r="U52" i="3"/>
  <c r="T52" i="3"/>
  <c r="S52" i="3"/>
  <c r="AI51" i="3"/>
  <c r="AG51" i="3"/>
  <c r="AF51" i="3"/>
  <c r="W51" i="3"/>
  <c r="V51" i="3"/>
  <c r="U51" i="3"/>
  <c r="T51" i="3"/>
  <c r="S51" i="3"/>
  <c r="AI50" i="3"/>
  <c r="AG50" i="3"/>
  <c r="AF50" i="3"/>
  <c r="W50" i="3"/>
  <c r="V50" i="3"/>
  <c r="U50" i="3"/>
  <c r="T50" i="3"/>
  <c r="S50" i="3"/>
  <c r="AI49" i="3"/>
  <c r="AG49" i="3"/>
  <c r="AF49" i="3"/>
  <c r="W49" i="3"/>
  <c r="V49" i="3"/>
  <c r="U49" i="3"/>
  <c r="T49" i="3"/>
  <c r="S49" i="3"/>
  <c r="AI48" i="3"/>
  <c r="AG48" i="3"/>
  <c r="AF48" i="3"/>
  <c r="W48" i="3"/>
  <c r="V48" i="3"/>
  <c r="U48" i="3"/>
  <c r="T48" i="3"/>
  <c r="S48" i="3"/>
  <c r="AI47" i="3"/>
  <c r="AG47" i="3"/>
  <c r="AF47" i="3"/>
  <c r="W47" i="3"/>
  <c r="V47" i="3"/>
  <c r="U47" i="3"/>
  <c r="T47" i="3"/>
  <c r="S47" i="3"/>
  <c r="AI46" i="3"/>
  <c r="AG46" i="3"/>
  <c r="AF46" i="3"/>
  <c r="W46" i="3"/>
  <c r="V46" i="3"/>
  <c r="U46" i="3"/>
  <c r="T46" i="3"/>
  <c r="S46" i="3"/>
  <c r="AI45" i="3"/>
  <c r="AG45" i="3"/>
  <c r="AF45" i="3"/>
  <c r="W45" i="3"/>
  <c r="V45" i="3"/>
  <c r="U45" i="3"/>
  <c r="T45" i="3"/>
  <c r="S45" i="3"/>
  <c r="AI44" i="3"/>
  <c r="AG44" i="3"/>
  <c r="AF44" i="3"/>
  <c r="W44" i="3"/>
  <c r="V44" i="3"/>
  <c r="U44" i="3"/>
  <c r="T44" i="3"/>
  <c r="S44" i="3"/>
  <c r="AI43" i="3"/>
  <c r="AG43" i="3"/>
  <c r="AF43" i="3"/>
  <c r="W43" i="3"/>
  <c r="V43" i="3"/>
  <c r="U43" i="3"/>
  <c r="T43" i="3"/>
  <c r="S43" i="3"/>
  <c r="AI42" i="3"/>
  <c r="AG42" i="3"/>
  <c r="AF42" i="3"/>
  <c r="W42" i="3"/>
  <c r="V42" i="3"/>
  <c r="U42" i="3"/>
  <c r="T42" i="3"/>
  <c r="S42" i="3"/>
  <c r="AI41" i="3"/>
  <c r="AG41" i="3"/>
  <c r="AF41" i="3"/>
  <c r="W41" i="3"/>
  <c r="V41" i="3"/>
  <c r="U41" i="3"/>
  <c r="T41" i="3"/>
  <c r="S41" i="3"/>
  <c r="AI40" i="3"/>
  <c r="AG40" i="3"/>
  <c r="AF40" i="3"/>
  <c r="W40" i="3"/>
  <c r="V40" i="3"/>
  <c r="U40" i="3"/>
  <c r="T40" i="3"/>
  <c r="S40" i="3"/>
  <c r="AI39" i="3"/>
  <c r="AG39" i="3"/>
  <c r="AF39" i="3"/>
  <c r="W39" i="3"/>
  <c r="V39" i="3"/>
  <c r="U39" i="3"/>
  <c r="T39" i="3"/>
  <c r="S39" i="3"/>
  <c r="AI38" i="3"/>
  <c r="AG38" i="3"/>
  <c r="AF38" i="3"/>
  <c r="W38" i="3"/>
  <c r="V38" i="3"/>
  <c r="U38" i="3"/>
  <c r="T38" i="3"/>
  <c r="S38" i="3"/>
  <c r="AI37" i="3"/>
  <c r="AG37" i="3"/>
  <c r="AF37" i="3"/>
  <c r="W37" i="3"/>
  <c r="V37" i="3"/>
  <c r="U37" i="3"/>
  <c r="T37" i="3"/>
  <c r="S37" i="3"/>
  <c r="AI36" i="3"/>
  <c r="AG36" i="3"/>
  <c r="AF36" i="3"/>
  <c r="W36" i="3"/>
  <c r="V36" i="3"/>
  <c r="U36" i="3"/>
  <c r="T36" i="3"/>
  <c r="S36" i="3"/>
  <c r="AI35" i="3"/>
  <c r="AG35" i="3"/>
  <c r="AF35" i="3"/>
  <c r="W35" i="3"/>
  <c r="V35" i="3"/>
  <c r="U35" i="3"/>
  <c r="T35" i="3"/>
  <c r="S35" i="3"/>
  <c r="AI34" i="3"/>
  <c r="AG34" i="3"/>
  <c r="AF34" i="3"/>
  <c r="W34" i="3"/>
  <c r="V34" i="3"/>
  <c r="U34" i="3"/>
  <c r="T34" i="3"/>
  <c r="S34" i="3"/>
  <c r="AI33" i="3"/>
  <c r="AG33" i="3"/>
  <c r="AF33" i="3"/>
  <c r="W33" i="3"/>
  <c r="V33" i="3"/>
  <c r="U33" i="3"/>
  <c r="T33" i="3"/>
  <c r="S33" i="3"/>
  <c r="AI32" i="3"/>
  <c r="AG32" i="3"/>
  <c r="AF32" i="3"/>
  <c r="W32" i="3"/>
  <c r="V32" i="3"/>
  <c r="U32" i="3"/>
  <c r="T32" i="3"/>
  <c r="S32" i="3"/>
  <c r="AI31" i="3"/>
  <c r="AG31" i="3"/>
  <c r="AF31" i="3"/>
  <c r="W31" i="3"/>
  <c r="V31" i="3"/>
  <c r="U31" i="3"/>
  <c r="T31" i="3"/>
  <c r="S31" i="3"/>
  <c r="AI30" i="3"/>
  <c r="AG30" i="3"/>
  <c r="AF30" i="3"/>
  <c r="W30" i="3"/>
  <c r="V30" i="3"/>
  <c r="U30" i="3"/>
  <c r="T30" i="3"/>
  <c r="S30" i="3"/>
  <c r="AI29" i="3"/>
  <c r="AG29" i="3"/>
  <c r="AF29" i="3"/>
  <c r="W29" i="3"/>
  <c r="V29" i="3"/>
  <c r="U29" i="3"/>
  <c r="T29" i="3"/>
  <c r="S29" i="3"/>
  <c r="AI28" i="3"/>
  <c r="AG28" i="3"/>
  <c r="AF28" i="3"/>
  <c r="W28" i="3"/>
  <c r="V28" i="3"/>
  <c r="U28" i="3"/>
  <c r="T28" i="3"/>
  <c r="S28" i="3"/>
  <c r="AI27" i="3"/>
  <c r="AG27" i="3"/>
  <c r="AF27" i="3"/>
  <c r="W27" i="3"/>
  <c r="V27" i="3"/>
  <c r="U27" i="3"/>
  <c r="T27" i="3"/>
  <c r="S27" i="3"/>
  <c r="AI26" i="3"/>
  <c r="AG26" i="3"/>
  <c r="AF26" i="3"/>
  <c r="W26" i="3"/>
  <c r="V26" i="3"/>
  <c r="U26" i="3"/>
  <c r="T26" i="3"/>
  <c r="S26" i="3"/>
  <c r="AI25" i="3"/>
  <c r="AG25" i="3"/>
  <c r="AF25" i="3"/>
  <c r="W25" i="3"/>
  <c r="V25" i="3"/>
  <c r="U25" i="3"/>
  <c r="T25" i="3"/>
  <c r="S25" i="3"/>
  <c r="AI24" i="3"/>
  <c r="AG24" i="3"/>
  <c r="AF24" i="3"/>
  <c r="W24" i="3"/>
  <c r="V24" i="3"/>
  <c r="U24" i="3"/>
  <c r="T24" i="3"/>
  <c r="S24" i="3"/>
  <c r="AI23" i="3"/>
  <c r="AG23" i="3"/>
  <c r="AF23" i="3"/>
  <c r="W23" i="3"/>
  <c r="V23" i="3"/>
  <c r="U23" i="3"/>
  <c r="T23" i="3"/>
  <c r="S23" i="3"/>
  <c r="AI22" i="3"/>
  <c r="AG22" i="3"/>
  <c r="AF22" i="3"/>
  <c r="W22" i="3"/>
  <c r="V22" i="3"/>
  <c r="U22" i="3"/>
  <c r="T22" i="3"/>
  <c r="S22" i="3"/>
  <c r="AI21" i="3"/>
  <c r="AG21" i="3"/>
  <c r="AF21" i="3"/>
  <c r="W21" i="3"/>
  <c r="V21" i="3"/>
  <c r="U21" i="3"/>
  <c r="T21" i="3"/>
  <c r="S21" i="3"/>
  <c r="AI20" i="3"/>
  <c r="AG20" i="3"/>
  <c r="AF20" i="3"/>
  <c r="W20" i="3"/>
  <c r="V20" i="3"/>
  <c r="U20" i="3"/>
  <c r="T20" i="3"/>
  <c r="S20" i="3"/>
  <c r="AI19" i="3"/>
  <c r="AG19" i="3"/>
  <c r="AF19" i="3"/>
  <c r="W19" i="3"/>
  <c r="V19" i="3"/>
  <c r="U19" i="3"/>
  <c r="T19" i="3"/>
  <c r="S19" i="3"/>
  <c r="K19" i="3"/>
  <c r="AH52" i="3" s="1"/>
  <c r="AI18" i="3"/>
  <c r="AG18" i="3"/>
  <c r="AF18" i="3"/>
  <c r="W18" i="3"/>
  <c r="V18" i="3"/>
  <c r="U18" i="3"/>
  <c r="T18" i="3"/>
  <c r="S18" i="3"/>
  <c r="AA18" i="3" s="1"/>
  <c r="AI17" i="3"/>
  <c r="AG17" i="3"/>
  <c r="AF17" i="3"/>
  <c r="W17" i="3"/>
  <c r="V17" i="3"/>
  <c r="U17" i="3"/>
  <c r="T17" i="3"/>
  <c r="S17" i="3"/>
  <c r="AI16" i="3"/>
  <c r="AG16" i="3"/>
  <c r="AF16" i="3"/>
  <c r="W16" i="3"/>
  <c r="V16" i="3"/>
  <c r="U16" i="3"/>
  <c r="T16" i="3"/>
  <c r="S16" i="3"/>
  <c r="AI15" i="3"/>
  <c r="AG15" i="3"/>
  <c r="AF15" i="3"/>
  <c r="W15" i="3"/>
  <c r="V15" i="3"/>
  <c r="U15" i="3"/>
  <c r="T15" i="3"/>
  <c r="S15" i="3"/>
  <c r="AI14" i="3"/>
  <c r="AG14" i="3"/>
  <c r="AF14" i="3"/>
  <c r="W14" i="3"/>
  <c r="V14" i="3"/>
  <c r="U14" i="3"/>
  <c r="T14" i="3"/>
  <c r="S14" i="3"/>
  <c r="AI13" i="3"/>
  <c r="AG13" i="3"/>
  <c r="AF13" i="3"/>
  <c r="W13" i="3"/>
  <c r="V13" i="3"/>
  <c r="U13" i="3"/>
  <c r="T13" i="3"/>
  <c r="S13" i="3"/>
  <c r="AA13" i="3" s="1"/>
  <c r="AI12" i="3"/>
  <c r="AG12" i="3"/>
  <c r="AF12" i="3"/>
  <c r="W12" i="3"/>
  <c r="V12" i="3"/>
  <c r="U12" i="3"/>
  <c r="T12" i="3"/>
  <c r="S12" i="3"/>
  <c r="AI11" i="3"/>
  <c r="AG11" i="3"/>
  <c r="AF11" i="3"/>
  <c r="W11" i="3"/>
  <c r="V11" i="3"/>
  <c r="U11" i="3"/>
  <c r="T11" i="3"/>
  <c r="S11" i="3"/>
  <c r="Z11" i="3" s="1"/>
  <c r="AD11" i="3" s="1"/>
  <c r="AI10" i="3"/>
  <c r="AG10" i="3"/>
  <c r="W10" i="3"/>
  <c r="V10" i="3"/>
  <c r="U10" i="3"/>
  <c r="T10" i="3"/>
  <c r="S10" i="3"/>
  <c r="AI9" i="3"/>
  <c r="AG9" i="3"/>
  <c r="AF9" i="3"/>
  <c r="W9" i="3"/>
  <c r="V9" i="3"/>
  <c r="U9" i="3"/>
  <c r="T9" i="3"/>
  <c r="S9" i="3"/>
  <c r="AM9" i="3"/>
  <c r="AL10" i="3"/>
  <c r="Y43" i="3" l="1"/>
  <c r="AC43" i="3" s="1"/>
  <c r="AE18" i="3"/>
  <c r="AE13" i="3"/>
  <c r="Y46" i="3"/>
  <c r="AC46" i="3" s="1"/>
  <c r="X9" i="3"/>
  <c r="AB9" i="3" s="1"/>
  <c r="X33" i="3"/>
  <c r="AB33" i="3" s="1"/>
  <c r="X14" i="3"/>
  <c r="AB14" i="3" s="1"/>
  <c r="X49" i="3"/>
  <c r="AB49" i="3" s="1"/>
  <c r="Y41" i="3"/>
  <c r="AC41" i="3" s="1"/>
  <c r="Y25" i="3"/>
  <c r="AC25" i="3" s="1"/>
  <c r="AA12" i="3"/>
  <c r="AE12" i="3" s="1"/>
  <c r="AA44" i="3"/>
  <c r="Z52" i="3"/>
  <c r="AD52" i="3" s="1"/>
  <c r="X36" i="3"/>
  <c r="AB36" i="3" s="1"/>
  <c r="X30" i="3"/>
  <c r="AB30" i="3" s="1"/>
  <c r="Y45" i="3"/>
  <c r="AC45" i="3" s="1"/>
  <c r="Y52" i="3"/>
  <c r="AC52" i="3" s="1"/>
  <c r="Y35" i="3"/>
  <c r="AC35" i="3" s="1"/>
  <c r="X46" i="3"/>
  <c r="AB46" i="3" s="1"/>
  <c r="AH10" i="3"/>
  <c r="AK10" i="3" s="1"/>
  <c r="AA21" i="3"/>
  <c r="AE21" i="3" s="1"/>
  <c r="AA48" i="3"/>
  <c r="AE48" i="3" s="1"/>
  <c r="Y36" i="3"/>
  <c r="AC36" i="3" s="1"/>
  <c r="X48" i="3"/>
  <c r="AB48" i="3" s="1"/>
  <c r="Z15" i="3"/>
  <c r="AD15" i="3" s="1"/>
  <c r="AH15" i="3"/>
  <c r="AK15" i="3" s="1"/>
  <c r="Y26" i="3"/>
  <c r="AC26" i="3" s="1"/>
  <c r="X28" i="3"/>
  <c r="AB28" i="3" s="1"/>
  <c r="Y49" i="3"/>
  <c r="AC49" i="3" s="1"/>
  <c r="Y28" i="3"/>
  <c r="AC28" i="3" s="1"/>
  <c r="Z29" i="3"/>
  <c r="AA36" i="3"/>
  <c r="AA40" i="3"/>
  <c r="AE40" i="3" s="1"/>
  <c r="AA47" i="3"/>
  <c r="AA16" i="3"/>
  <c r="AE16" i="3" s="1"/>
  <c r="AA28" i="3"/>
  <c r="AE28" i="3" s="1"/>
  <c r="Y30" i="3"/>
  <c r="AC30" i="3" s="1"/>
  <c r="AA41" i="3"/>
  <c r="AE41" i="3" s="1"/>
  <c r="X51" i="3"/>
  <c r="Z34" i="3"/>
  <c r="AD34" i="3" s="1"/>
  <c r="Y12" i="3"/>
  <c r="AC12" i="3" s="1"/>
  <c r="Y27" i="3"/>
  <c r="AC27" i="3" s="1"/>
  <c r="Y38" i="3"/>
  <c r="AC38" i="3" s="1"/>
  <c r="X53" i="3"/>
  <c r="Y14" i="3"/>
  <c r="AC14" i="3" s="1"/>
  <c r="AA31" i="3"/>
  <c r="AE31" i="3" s="1"/>
  <c r="X52" i="3"/>
  <c r="AH9" i="3"/>
  <c r="AK9" i="3" s="1"/>
  <c r="AH18" i="3"/>
  <c r="AK18" i="3" s="1"/>
  <c r="Z21" i="3"/>
  <c r="AD21" i="3" s="1"/>
  <c r="AA9" i="3"/>
  <c r="AE9" i="3" s="1"/>
  <c r="X10" i="3"/>
  <c r="AB10" i="3" s="1"/>
  <c r="AM11" i="3"/>
  <c r="Y20" i="3"/>
  <c r="AC20" i="3" s="1"/>
  <c r="Z26" i="3"/>
  <c r="AD26" i="3" s="1"/>
  <c r="Y33" i="3"/>
  <c r="AC33" i="3" s="1"/>
  <c r="Z50" i="3"/>
  <c r="AD50" i="3" s="1"/>
  <c r="Y53" i="3"/>
  <c r="AC53" i="3" s="1"/>
  <c r="AM18" i="3"/>
  <c r="AM35" i="3"/>
  <c r="AM13" i="3"/>
  <c r="AA20" i="3"/>
  <c r="AE20" i="3" s="1"/>
  <c r="AM23" i="3"/>
  <c r="Z36" i="3"/>
  <c r="AD36" i="3" s="1"/>
  <c r="X41" i="3"/>
  <c r="AB41" i="3" s="1"/>
  <c r="Z42" i="3"/>
  <c r="AD42" i="3" s="1"/>
  <c r="X44" i="3"/>
  <c r="AB44" i="3" s="1"/>
  <c r="Z51" i="3"/>
  <c r="AD51" i="3" s="1"/>
  <c r="Z14" i="3"/>
  <c r="AD14" i="3" s="1"/>
  <c r="AA14" i="3"/>
  <c r="AE14" i="3" s="1"/>
  <c r="AM16" i="3"/>
  <c r="X25" i="3"/>
  <c r="AB25" i="3" s="1"/>
  <c r="AA29" i="3"/>
  <c r="AE29" i="3" s="1"/>
  <c r="AA39" i="3"/>
  <c r="AE39" i="3" s="1"/>
  <c r="Y44" i="3"/>
  <c r="AC44" i="3" s="1"/>
  <c r="AA52" i="3"/>
  <c r="AE52" i="3" s="1"/>
  <c r="X54" i="3"/>
  <c r="AB54" i="3" s="1"/>
  <c r="X13" i="3"/>
  <c r="AB13" i="3" s="1"/>
  <c r="Z17" i="3"/>
  <c r="AD17" i="3" s="1"/>
  <c r="X20" i="3"/>
  <c r="AB20" i="3" s="1"/>
  <c r="Z31" i="3"/>
  <c r="AD31" i="3" s="1"/>
  <c r="AM34" i="3"/>
  <c r="X38" i="3"/>
  <c r="AB38" i="3" s="1"/>
  <c r="X40" i="3"/>
  <c r="Y54" i="3"/>
  <c r="AC54" i="3" s="1"/>
  <c r="Y10" i="3"/>
  <c r="AC10" i="3" s="1"/>
  <c r="AA10" i="3"/>
  <c r="AE10" i="3" s="1"/>
  <c r="Z13" i="3"/>
  <c r="AD13" i="3" s="1"/>
  <c r="X16" i="3"/>
  <c r="AB16" i="3" s="1"/>
  <c r="AM19" i="3"/>
  <c r="AM32" i="3"/>
  <c r="X35" i="3"/>
  <c r="AB35" i="3" s="1"/>
  <c r="Y37" i="3"/>
  <c r="AC37" i="3" s="1"/>
  <c r="AM37" i="3"/>
  <c r="AM39" i="3"/>
  <c r="Y40" i="3"/>
  <c r="AC40" i="3" s="1"/>
  <c r="X45" i="3"/>
  <c r="AB45" i="3" s="1"/>
  <c r="Z16" i="3"/>
  <c r="AD16" i="3" s="1"/>
  <c r="Z20" i="3"/>
  <c r="AD20" i="3" s="1"/>
  <c r="Z22" i="3"/>
  <c r="AD22" i="3" s="1"/>
  <c r="AA37" i="3"/>
  <c r="AE37" i="3" s="1"/>
  <c r="AA11" i="3"/>
  <c r="AE11" i="3" s="1"/>
  <c r="AA19" i="3"/>
  <c r="AE19" i="3" s="1"/>
  <c r="Z19" i="3"/>
  <c r="AD19" i="3" s="1"/>
  <c r="Y24" i="3"/>
  <c r="AC24" i="3" s="1"/>
  <c r="X24" i="3"/>
  <c r="AB24" i="3" s="1"/>
  <c r="AL32" i="3"/>
  <c r="AL34" i="3"/>
  <c r="AL11" i="3"/>
  <c r="AH13" i="3"/>
  <c r="AK13" i="3" s="1"/>
  <c r="AH16" i="3"/>
  <c r="AK16" i="3" s="1"/>
  <c r="Y21" i="3"/>
  <c r="AC21" i="3" s="1"/>
  <c r="X21" i="3"/>
  <c r="AB21" i="3" s="1"/>
  <c r="AH26" i="3"/>
  <c r="AK26" i="3" s="1"/>
  <c r="AH45" i="3"/>
  <c r="AK45" i="3" s="1"/>
  <c r="AL14" i="3"/>
  <c r="Y17" i="3"/>
  <c r="AC17" i="3" s="1"/>
  <c r="Z18" i="3"/>
  <c r="AD18" i="3" s="1"/>
  <c r="AH21" i="3"/>
  <c r="AK21" i="3" s="1"/>
  <c r="Y13" i="3"/>
  <c r="AC13" i="3" s="1"/>
  <c r="AA15" i="3"/>
  <c r="AE15" i="3" s="1"/>
  <c r="Y15" i="3"/>
  <c r="AC15" i="3" s="1"/>
  <c r="X15" i="3"/>
  <c r="AB15" i="3" s="1"/>
  <c r="Y16" i="3"/>
  <c r="AC16" i="3" s="1"/>
  <c r="AL17" i="3"/>
  <c r="Z10" i="3"/>
  <c r="AD10" i="3" s="1"/>
  <c r="AA23" i="3"/>
  <c r="AE23" i="3" s="1"/>
  <c r="X11" i="3"/>
  <c r="AB11" i="3" s="1"/>
  <c r="X17" i="3"/>
  <c r="AB17" i="3" s="1"/>
  <c r="AA17" i="3"/>
  <c r="AE17" i="3" s="1"/>
  <c r="Y18" i="3"/>
  <c r="AC18" i="3" s="1"/>
  <c r="X18" i="3"/>
  <c r="AB18" i="3" s="1"/>
  <c r="X19" i="3"/>
  <c r="AB19" i="3" s="1"/>
  <c r="AH20" i="3"/>
  <c r="AK20" i="3" s="1"/>
  <c r="Z24" i="3"/>
  <c r="AD24" i="3" s="1"/>
  <c r="AL54" i="3"/>
  <c r="AL51" i="3"/>
  <c r="AL47" i="3"/>
  <c r="AL39" i="3"/>
  <c r="AL31" i="3"/>
  <c r="AL23" i="3"/>
  <c r="AL18" i="3"/>
  <c r="AL52" i="3"/>
  <c r="AL44" i="3"/>
  <c r="AL36" i="3"/>
  <c r="AL28" i="3"/>
  <c r="AL20" i="3"/>
  <c r="AL49" i="3"/>
  <c r="AL41" i="3"/>
  <c r="AL33" i="3"/>
  <c r="AL25" i="3"/>
  <c r="AL37" i="3"/>
  <c r="AL35" i="3"/>
  <c r="AL38" i="3"/>
  <c r="AL19" i="3"/>
  <c r="AL13" i="3"/>
  <c r="AL42" i="3"/>
  <c r="AL50" i="3"/>
  <c r="AL40" i="3"/>
  <c r="AL53" i="3"/>
  <c r="AL45" i="3"/>
  <c r="AL43" i="3"/>
  <c r="AL16" i="3"/>
  <c r="AL15" i="3"/>
  <c r="AL46" i="3"/>
  <c r="AL26" i="3"/>
  <c r="AL24" i="3"/>
  <c r="AL22" i="3"/>
  <c r="AL21" i="3"/>
  <c r="AL12" i="3"/>
  <c r="AL48" i="3"/>
  <c r="AL29" i="3"/>
  <c r="AL27" i="3"/>
  <c r="AL30" i="3"/>
  <c r="Y11" i="3"/>
  <c r="AC11" i="3" s="1"/>
  <c r="AH53" i="3"/>
  <c r="AK53" i="3" s="1"/>
  <c r="AH50" i="3"/>
  <c r="AK50" i="3" s="1"/>
  <c r="AH54" i="3"/>
  <c r="AK54" i="3" s="1"/>
  <c r="AH46" i="3"/>
  <c r="AK46" i="3" s="1"/>
  <c r="AH38" i="3"/>
  <c r="AK38" i="3" s="1"/>
  <c r="AH30" i="3"/>
  <c r="AK30" i="3" s="1"/>
  <c r="AH22" i="3"/>
  <c r="AK22" i="3" s="1"/>
  <c r="AH17" i="3"/>
  <c r="AK17" i="3" s="1"/>
  <c r="AH51" i="3"/>
  <c r="AK51" i="3" s="1"/>
  <c r="AH43" i="3"/>
  <c r="AK43" i="3" s="1"/>
  <c r="AH35" i="3"/>
  <c r="AK35" i="3" s="1"/>
  <c r="AH27" i="3"/>
  <c r="AK27" i="3" s="1"/>
  <c r="AH19" i="3"/>
  <c r="AK19" i="3" s="1"/>
  <c r="AH48" i="3"/>
  <c r="AK48" i="3" s="1"/>
  <c r="AH40" i="3"/>
  <c r="AK40" i="3" s="1"/>
  <c r="AH32" i="3"/>
  <c r="AK32" i="3" s="1"/>
  <c r="AH24" i="3"/>
  <c r="AK24" i="3" s="1"/>
  <c r="AH31" i="3"/>
  <c r="AK31" i="3" s="1"/>
  <c r="AH41" i="3"/>
  <c r="AK41" i="3" s="1"/>
  <c r="AH36" i="3"/>
  <c r="AK36" i="3" s="1"/>
  <c r="AH29" i="3"/>
  <c r="AK29" i="3" s="1"/>
  <c r="AH12" i="3"/>
  <c r="AK12" i="3" s="1"/>
  <c r="AH34" i="3"/>
  <c r="AK34" i="3" s="1"/>
  <c r="AH39" i="3"/>
  <c r="AK39" i="3" s="1"/>
  <c r="AH25" i="3"/>
  <c r="AK25" i="3" s="1"/>
  <c r="AH14" i="3"/>
  <c r="AK14" i="3" s="1"/>
  <c r="AH47" i="3"/>
  <c r="AK47" i="3" s="1"/>
  <c r="AH44" i="3"/>
  <c r="AK44" i="3" s="1"/>
  <c r="AH37" i="3"/>
  <c r="AK37" i="3" s="1"/>
  <c r="AH11" i="3"/>
  <c r="AK11" i="3" s="1"/>
  <c r="AH33" i="3"/>
  <c r="AK33" i="3" s="1"/>
  <c r="AH28" i="3"/>
  <c r="AK28" i="3" s="1"/>
  <c r="AH49" i="3"/>
  <c r="AK49" i="3" s="1"/>
  <c r="AH42" i="3"/>
  <c r="AK42" i="3" s="1"/>
  <c r="AH23" i="3"/>
  <c r="AK23" i="3" s="1"/>
  <c r="Y19" i="3"/>
  <c r="AC19" i="3" s="1"/>
  <c r="AA22" i="3"/>
  <c r="AE22" i="3" s="1"/>
  <c r="Y22" i="3"/>
  <c r="AC22" i="3" s="1"/>
  <c r="X22" i="3"/>
  <c r="AB22" i="3" s="1"/>
  <c r="AA24" i="3"/>
  <c r="AE24" i="3" s="1"/>
  <c r="AM51" i="3"/>
  <c r="AM53" i="3"/>
  <c r="AM52" i="3"/>
  <c r="AM44" i="3"/>
  <c r="AM36" i="3"/>
  <c r="AM28" i="3"/>
  <c r="AM20" i="3"/>
  <c r="AM15" i="3"/>
  <c r="AM49" i="3"/>
  <c r="AM41" i="3"/>
  <c r="AM33" i="3"/>
  <c r="AM25" i="3"/>
  <c r="AM54" i="3"/>
  <c r="AM46" i="3"/>
  <c r="AM38" i="3"/>
  <c r="AM30" i="3"/>
  <c r="Y9" i="3"/>
  <c r="AC9" i="3" s="1"/>
  <c r="X12" i="3"/>
  <c r="AB12" i="3" s="1"/>
  <c r="AM14" i="3"/>
  <c r="X26" i="3"/>
  <c r="AB26" i="3" s="1"/>
  <c r="AA26" i="3"/>
  <c r="AE26" i="3" s="1"/>
  <c r="Y31" i="3"/>
  <c r="AC31" i="3" s="1"/>
  <c r="X31" i="3"/>
  <c r="AB31" i="3" s="1"/>
  <c r="AM31" i="3"/>
  <c r="X37" i="3"/>
  <c r="AB37" i="3" s="1"/>
  <c r="Z40" i="3"/>
  <c r="AD40" i="3" s="1"/>
  <c r="Y42" i="3"/>
  <c r="AC42" i="3" s="1"/>
  <c r="AA45" i="3"/>
  <c r="AE45" i="3" s="1"/>
  <c r="Z47" i="3"/>
  <c r="AD47" i="3" s="1"/>
  <c r="AA43" i="3"/>
  <c r="AE43" i="3" s="1"/>
  <c r="Z23" i="3"/>
  <c r="AD23" i="3" s="1"/>
  <c r="AM27" i="3"/>
  <c r="AM29" i="3"/>
  <c r="X32" i="3"/>
  <c r="AB32" i="3" s="1"/>
  <c r="AA33" i="3"/>
  <c r="AE33" i="3" s="1"/>
  <c r="AM48" i="3"/>
  <c r="Z43" i="3"/>
  <c r="AD43" i="3" s="1"/>
  <c r="Z45" i="3"/>
  <c r="AD45" i="3" s="1"/>
  <c r="Z9" i="3"/>
  <c r="AD9" i="3" s="1"/>
  <c r="Z12" i="3"/>
  <c r="AD12" i="3" s="1"/>
  <c r="AM12" i="3"/>
  <c r="AM21" i="3"/>
  <c r="AM22" i="3"/>
  <c r="AM24" i="3"/>
  <c r="AM26" i="3"/>
  <c r="Z28" i="3"/>
  <c r="AD28" i="3" s="1"/>
  <c r="Y32" i="3"/>
  <c r="AC32" i="3" s="1"/>
  <c r="AA35" i="3"/>
  <c r="AE35" i="3" s="1"/>
  <c r="Z35" i="3"/>
  <c r="AD35" i="3" s="1"/>
  <c r="Z37" i="3"/>
  <c r="AD37" i="3" s="1"/>
  <c r="X42" i="3"/>
  <c r="AB42" i="3" s="1"/>
  <c r="AA42" i="3"/>
  <c r="AE42" i="3" s="1"/>
  <c r="Y47" i="3"/>
  <c r="AC47" i="3" s="1"/>
  <c r="X47" i="3"/>
  <c r="AB47" i="3" s="1"/>
  <c r="AM47" i="3"/>
  <c r="Y23" i="3"/>
  <c r="AC23" i="3" s="1"/>
  <c r="X23" i="3"/>
  <c r="AB23" i="3" s="1"/>
  <c r="Z39" i="3"/>
  <c r="AD39" i="3" s="1"/>
  <c r="AM43" i="3"/>
  <c r="AM45" i="3"/>
  <c r="AA49" i="3"/>
  <c r="AE49" i="3" s="1"/>
  <c r="Y50" i="3"/>
  <c r="AC50" i="3" s="1"/>
  <c r="X27" i="3"/>
  <c r="AB27" i="3" s="1"/>
  <c r="X29" i="3"/>
  <c r="AB29" i="3" s="1"/>
  <c r="Z32" i="3"/>
  <c r="AD32" i="3" s="1"/>
  <c r="Y34" i="3"/>
  <c r="AC34" i="3" s="1"/>
  <c r="AM10" i="3"/>
  <c r="AM17" i="3"/>
  <c r="AA25" i="3"/>
  <c r="AE25" i="3" s="1"/>
  <c r="Y29" i="3"/>
  <c r="AC29" i="3" s="1"/>
  <c r="AA32" i="3"/>
  <c r="AE32" i="3" s="1"/>
  <c r="AM40" i="3"/>
  <c r="AM42" i="3"/>
  <c r="Z44" i="3"/>
  <c r="AD44" i="3" s="1"/>
  <c r="Y48" i="3"/>
  <c r="AC48" i="3" s="1"/>
  <c r="AM50" i="3"/>
  <c r="AA27" i="3"/>
  <c r="AE27" i="3" s="1"/>
  <c r="Z27" i="3"/>
  <c r="AD27" i="3" s="1"/>
  <c r="X34" i="3"/>
  <c r="AB34" i="3" s="1"/>
  <c r="AA34" i="3"/>
  <c r="AE34" i="3" s="1"/>
  <c r="Y39" i="3"/>
  <c r="AC39" i="3" s="1"/>
  <c r="X39" i="3"/>
  <c r="AB39" i="3" s="1"/>
  <c r="X43" i="3"/>
  <c r="AB43" i="3" s="1"/>
  <c r="Z48" i="3"/>
  <c r="AD48" i="3" s="1"/>
  <c r="X50" i="3"/>
  <c r="AB50" i="3" s="1"/>
  <c r="AA50" i="3"/>
  <c r="AE50" i="3" s="1"/>
  <c r="AK52" i="3"/>
  <c r="Z30" i="3"/>
  <c r="AD30" i="3" s="1"/>
  <c r="AE36" i="3"/>
  <c r="Z38" i="3"/>
  <c r="AD38" i="3" s="1"/>
  <c r="AE44" i="3"/>
  <c r="Z46" i="3"/>
  <c r="AD46" i="3" s="1"/>
  <c r="AA51" i="3"/>
  <c r="AE51" i="3" s="1"/>
  <c r="AB53" i="3"/>
  <c r="Z54" i="3"/>
  <c r="AD54" i="3" s="1"/>
  <c r="Z25" i="3"/>
  <c r="AD25" i="3" s="1"/>
  <c r="AA30" i="3"/>
  <c r="AE30" i="3" s="1"/>
  <c r="Z33" i="3"/>
  <c r="AD33" i="3" s="1"/>
  <c r="AA38" i="3"/>
  <c r="AE38" i="3" s="1"/>
  <c r="AB40" i="3"/>
  <c r="Z41" i="3"/>
  <c r="AD41" i="3" s="1"/>
  <c r="AA46" i="3"/>
  <c r="AE46" i="3" s="1"/>
  <c r="AE47" i="3"/>
  <c r="Z49" i="3"/>
  <c r="AD49" i="3" s="1"/>
  <c r="AJ49" i="3" s="1"/>
  <c r="AA54" i="3"/>
  <c r="AE54" i="3" s="1"/>
  <c r="AD29" i="3"/>
  <c r="AB51" i="3"/>
  <c r="AB52" i="3"/>
  <c r="Z53" i="3"/>
  <c r="AD53" i="3" s="1"/>
  <c r="Y51" i="3"/>
  <c r="AC51" i="3" s="1"/>
  <c r="AA53" i="3"/>
  <c r="AE53" i="3" s="1"/>
  <c r="H41" i="7"/>
  <c r="G40" i="7"/>
  <c r="H39" i="7"/>
  <c r="S8" i="7"/>
  <c r="G27" i="7"/>
  <c r="I25" i="7"/>
  <c r="G39" i="7"/>
  <c r="G38" i="7"/>
  <c r="G37" i="7"/>
  <c r="G36" i="7"/>
  <c r="G35" i="7"/>
  <c r="G34" i="7"/>
  <c r="G33" i="7"/>
  <c r="G32" i="7"/>
  <c r="G31" i="7"/>
  <c r="G30" i="7"/>
  <c r="G29" i="7"/>
  <c r="G28" i="7"/>
  <c r="S12" i="7"/>
  <c r="S10" i="7"/>
  <c r="S9" i="7"/>
  <c r="S7" i="7"/>
  <c r="G24" i="7" s="1"/>
  <c r="AJ15" i="3" l="1"/>
  <c r="AO15" i="3" s="1"/>
  <c r="AJ54" i="3"/>
  <c r="AN54" i="3" s="1"/>
  <c r="AJ33" i="3"/>
  <c r="AN33" i="3" s="1"/>
  <c r="AJ14" i="3"/>
  <c r="AO14" i="3" s="1"/>
  <c r="AJ28" i="3"/>
  <c r="AN28" i="3" s="1"/>
  <c r="AJ25" i="3"/>
  <c r="AO25" i="3" s="1"/>
  <c r="AJ29" i="3"/>
  <c r="AO29" i="3" s="1"/>
  <c r="AJ43" i="3"/>
  <c r="AN43" i="3" s="1"/>
  <c r="AJ13" i="3"/>
  <c r="AO13" i="3" s="1"/>
  <c r="AJ44" i="3"/>
  <c r="AN44" i="3" s="1"/>
  <c r="AJ20" i="3"/>
  <c r="AN20" i="3" s="1"/>
  <c r="AJ47" i="3"/>
  <c r="AO47" i="3" s="1"/>
  <c r="AJ10" i="3"/>
  <c r="AO10" i="3" s="1"/>
  <c r="AJ41" i="3"/>
  <c r="AO41" i="3" s="1"/>
  <c r="AJ38" i="3"/>
  <c r="AO38" i="3" s="1"/>
  <c r="AJ16" i="3"/>
  <c r="AO16" i="3" s="1"/>
  <c r="AJ17" i="3"/>
  <c r="AO17" i="3" s="1"/>
  <c r="AJ37" i="3"/>
  <c r="AO37" i="3" s="1"/>
  <c r="AJ9" i="3"/>
  <c r="AN9" i="3" s="1"/>
  <c r="AJ19" i="3"/>
  <c r="AN19" i="3" s="1"/>
  <c r="AJ27" i="3"/>
  <c r="AO27" i="3" s="1"/>
  <c r="AJ36" i="3"/>
  <c r="AN36" i="3" s="1"/>
  <c r="AJ11" i="3"/>
  <c r="AN11" i="3" s="1"/>
  <c r="AJ30" i="3"/>
  <c r="AO30" i="3" s="1"/>
  <c r="AJ46" i="3"/>
  <c r="AN46" i="3" s="1"/>
  <c r="AJ50" i="3"/>
  <c r="AO50" i="3" s="1"/>
  <c r="AJ32" i="3"/>
  <c r="AJ21" i="3"/>
  <c r="AJ40" i="3"/>
  <c r="AJ53" i="3"/>
  <c r="AJ18" i="3"/>
  <c r="AJ45" i="3"/>
  <c r="AJ52" i="3"/>
  <c r="AJ48" i="3"/>
  <c r="AJ34" i="3"/>
  <c r="AJ23" i="3"/>
  <c r="AJ42" i="3"/>
  <c r="AJ31" i="3"/>
  <c r="AJ51" i="3"/>
  <c r="AJ35" i="3"/>
  <c r="AJ26" i="3"/>
  <c r="AJ22" i="3"/>
  <c r="AN49" i="3"/>
  <c r="AO49" i="3"/>
  <c r="AJ12" i="3"/>
  <c r="AJ39" i="3"/>
  <c r="AJ24" i="3"/>
  <c r="R56" i="5"/>
  <c r="N56" i="5"/>
  <c r="J56" i="5"/>
  <c r="AP54" i="5"/>
  <c r="AO54" i="5"/>
  <c r="AM54" i="5"/>
  <c r="AL54" i="5"/>
  <c r="AA54" i="5"/>
  <c r="Z54" i="5"/>
  <c r="Y54" i="5"/>
  <c r="X54" i="5"/>
  <c r="W54" i="5"/>
  <c r="V54" i="5"/>
  <c r="AB54" i="5" s="1"/>
  <c r="AP53" i="5"/>
  <c r="AO53" i="5"/>
  <c r="AM53" i="5"/>
  <c r="AL53" i="5"/>
  <c r="AA53" i="5"/>
  <c r="Z53" i="5"/>
  <c r="Y53" i="5"/>
  <c r="X53" i="5"/>
  <c r="W53" i="5"/>
  <c r="V53" i="5"/>
  <c r="AP52" i="5"/>
  <c r="AO52" i="5"/>
  <c r="AM52" i="5"/>
  <c r="AL52" i="5"/>
  <c r="AA52" i="5"/>
  <c r="Z52" i="5"/>
  <c r="Y52" i="5"/>
  <c r="X52" i="5"/>
  <c r="W52" i="5"/>
  <c r="V52" i="5"/>
  <c r="AP51" i="5"/>
  <c r="AO51" i="5"/>
  <c r="AM51" i="5"/>
  <c r="AL51" i="5"/>
  <c r="AA51" i="5"/>
  <c r="Z51" i="5"/>
  <c r="Y51" i="5"/>
  <c r="X51" i="5"/>
  <c r="W51" i="5"/>
  <c r="AB51" i="5" s="1"/>
  <c r="V51" i="5"/>
  <c r="AP50" i="5"/>
  <c r="AO50" i="5"/>
  <c r="AM50" i="5"/>
  <c r="AL50" i="5"/>
  <c r="AA50" i="5"/>
  <c r="Z50" i="5"/>
  <c r="Y50" i="5"/>
  <c r="X50" i="5"/>
  <c r="W50" i="5"/>
  <c r="V50" i="5"/>
  <c r="AP49" i="5"/>
  <c r="AO49" i="5"/>
  <c r="AM49" i="5"/>
  <c r="AL49" i="5"/>
  <c r="AA49" i="5"/>
  <c r="Z49" i="5"/>
  <c r="Y49" i="5"/>
  <c r="X49" i="5"/>
  <c r="W49" i="5"/>
  <c r="V49" i="5"/>
  <c r="AP48" i="5"/>
  <c r="AO48" i="5"/>
  <c r="AM48" i="5"/>
  <c r="AL48" i="5"/>
  <c r="AA48" i="5"/>
  <c r="Z48" i="5"/>
  <c r="Y48" i="5"/>
  <c r="X48" i="5"/>
  <c r="W48" i="5"/>
  <c r="V48" i="5"/>
  <c r="AP47" i="5"/>
  <c r="AO47" i="5"/>
  <c r="AM47" i="5"/>
  <c r="AL47" i="5"/>
  <c r="AA47" i="5"/>
  <c r="Z47" i="5"/>
  <c r="Y47" i="5"/>
  <c r="AD47" i="5" s="1"/>
  <c r="X47" i="5"/>
  <c r="W47" i="5"/>
  <c r="V47" i="5"/>
  <c r="AP46" i="5"/>
  <c r="AO46" i="5"/>
  <c r="AM46" i="5"/>
  <c r="AL46" i="5"/>
  <c r="AA46" i="5"/>
  <c r="Z46" i="5"/>
  <c r="Y46" i="5"/>
  <c r="X46" i="5"/>
  <c r="W46" i="5"/>
  <c r="V46" i="5"/>
  <c r="AP45" i="5"/>
  <c r="AO45" i="5"/>
  <c r="AM45" i="5"/>
  <c r="AL45" i="5"/>
  <c r="AA45" i="5"/>
  <c r="Z45" i="5"/>
  <c r="Y45" i="5"/>
  <c r="X45" i="5"/>
  <c r="W45" i="5"/>
  <c r="V45" i="5"/>
  <c r="AF45" i="5" s="1"/>
  <c r="AP44" i="5"/>
  <c r="AO44" i="5"/>
  <c r="AM44" i="5"/>
  <c r="AL44" i="5"/>
  <c r="AA44" i="5"/>
  <c r="Z44" i="5"/>
  <c r="Y44" i="5"/>
  <c r="X44" i="5"/>
  <c r="W44" i="5"/>
  <c r="V44" i="5"/>
  <c r="AF44" i="5" s="1"/>
  <c r="AP43" i="5"/>
  <c r="AO43" i="5"/>
  <c r="AM43" i="5"/>
  <c r="AL43" i="5"/>
  <c r="AA43" i="5"/>
  <c r="Z43" i="5"/>
  <c r="Y43" i="5"/>
  <c r="X43" i="5"/>
  <c r="W43" i="5"/>
  <c r="V43" i="5"/>
  <c r="AP42" i="5"/>
  <c r="AO42" i="5"/>
  <c r="AM42" i="5"/>
  <c r="AL42" i="5"/>
  <c r="AA42" i="5"/>
  <c r="Z42" i="5"/>
  <c r="Y42" i="5"/>
  <c r="X42" i="5"/>
  <c r="W42" i="5"/>
  <c r="V42" i="5"/>
  <c r="AF42" i="5" s="1"/>
  <c r="AP41" i="5"/>
  <c r="AO41" i="5"/>
  <c r="AM41" i="5"/>
  <c r="AL41" i="5"/>
  <c r="AA41" i="5"/>
  <c r="Z41" i="5"/>
  <c r="Y41" i="5"/>
  <c r="X41" i="5"/>
  <c r="W41" i="5"/>
  <c r="AB41" i="5" s="1"/>
  <c r="V41" i="5"/>
  <c r="AF41" i="5" s="1"/>
  <c r="AP40" i="5"/>
  <c r="AO40" i="5"/>
  <c r="AM40" i="5"/>
  <c r="AL40" i="5"/>
  <c r="AA40" i="5"/>
  <c r="Z40" i="5"/>
  <c r="Y40" i="5"/>
  <c r="X40" i="5"/>
  <c r="W40" i="5"/>
  <c r="V40" i="5"/>
  <c r="AP39" i="5"/>
  <c r="AO39" i="5"/>
  <c r="AN39" i="5"/>
  <c r="AM39" i="5"/>
  <c r="AL39" i="5"/>
  <c r="AA39" i="5"/>
  <c r="Z39" i="5"/>
  <c r="Y39" i="5"/>
  <c r="X39" i="5"/>
  <c r="W39" i="5"/>
  <c r="V39" i="5"/>
  <c r="AP38" i="5"/>
  <c r="AO38" i="5"/>
  <c r="AM38" i="5"/>
  <c r="AL38" i="5"/>
  <c r="AA38" i="5"/>
  <c r="Z38" i="5"/>
  <c r="Y38" i="5"/>
  <c r="X38" i="5"/>
  <c r="AC38" i="5" s="1"/>
  <c r="W38" i="5"/>
  <c r="V38" i="5"/>
  <c r="AB38" i="5" s="1"/>
  <c r="AP37" i="5"/>
  <c r="AO37" i="5"/>
  <c r="AM37" i="5"/>
  <c r="AL37" i="5"/>
  <c r="AA37" i="5"/>
  <c r="Z37" i="5"/>
  <c r="Y37" i="5"/>
  <c r="X37" i="5"/>
  <c r="AC37" i="5" s="1"/>
  <c r="W37" i="5"/>
  <c r="V37" i="5"/>
  <c r="AP36" i="5"/>
  <c r="AO36" i="5"/>
  <c r="AN36" i="5"/>
  <c r="AM36" i="5"/>
  <c r="AL36" i="5"/>
  <c r="AA36" i="5"/>
  <c r="Z36" i="5"/>
  <c r="Y36" i="5"/>
  <c r="X36" i="5"/>
  <c r="W36" i="5"/>
  <c r="V36" i="5"/>
  <c r="AP35" i="5"/>
  <c r="AO35" i="5"/>
  <c r="AM35" i="5"/>
  <c r="AL35" i="5"/>
  <c r="AA35" i="5"/>
  <c r="Z35" i="5"/>
  <c r="Y35" i="5"/>
  <c r="X35" i="5"/>
  <c r="AC35" i="5" s="1"/>
  <c r="W35" i="5"/>
  <c r="V35" i="5"/>
  <c r="AB35" i="5" s="1"/>
  <c r="AP34" i="5"/>
  <c r="AO34" i="5"/>
  <c r="AM34" i="5"/>
  <c r="AL34" i="5"/>
  <c r="AA34" i="5"/>
  <c r="Z34" i="5"/>
  <c r="Y34" i="5"/>
  <c r="AD34" i="5" s="1"/>
  <c r="X34" i="5"/>
  <c r="W34" i="5"/>
  <c r="V34" i="5"/>
  <c r="AP33" i="5"/>
  <c r="AO33" i="5"/>
  <c r="AM33" i="5"/>
  <c r="AL33" i="5"/>
  <c r="AA33" i="5"/>
  <c r="AF33" i="5" s="1"/>
  <c r="Z33" i="5"/>
  <c r="Y33" i="5"/>
  <c r="X33" i="5"/>
  <c r="W33" i="5"/>
  <c r="AB33" i="5" s="1"/>
  <c r="V33" i="5"/>
  <c r="AP32" i="5"/>
  <c r="AO32" i="5"/>
  <c r="AM32" i="5"/>
  <c r="AL32" i="5"/>
  <c r="AA32" i="5"/>
  <c r="Z32" i="5"/>
  <c r="Y32" i="5"/>
  <c r="X32" i="5"/>
  <c r="W32" i="5"/>
  <c r="V32" i="5"/>
  <c r="AP31" i="5"/>
  <c r="AO31" i="5"/>
  <c r="AM31" i="5"/>
  <c r="AL31" i="5"/>
  <c r="AA31" i="5"/>
  <c r="Z31" i="5"/>
  <c r="Y31" i="5"/>
  <c r="X31" i="5"/>
  <c r="W31" i="5"/>
  <c r="V31" i="5"/>
  <c r="AP30" i="5"/>
  <c r="AO30" i="5"/>
  <c r="AM30" i="5"/>
  <c r="AL30" i="5"/>
  <c r="AA30" i="5"/>
  <c r="Z30" i="5"/>
  <c r="Y30" i="5"/>
  <c r="X30" i="5"/>
  <c r="W30" i="5"/>
  <c r="V30" i="5"/>
  <c r="AP29" i="5"/>
  <c r="AO29" i="5"/>
  <c r="AM29" i="5"/>
  <c r="AL29" i="5"/>
  <c r="AA29" i="5"/>
  <c r="Z29" i="5"/>
  <c r="Y29" i="5"/>
  <c r="X29" i="5"/>
  <c r="W29" i="5"/>
  <c r="V29" i="5"/>
  <c r="AP28" i="5"/>
  <c r="AO28" i="5"/>
  <c r="AM28" i="5"/>
  <c r="AL28" i="5"/>
  <c r="AA28" i="5"/>
  <c r="Z28" i="5"/>
  <c r="Y28" i="5"/>
  <c r="X28" i="5"/>
  <c r="W28" i="5"/>
  <c r="V28" i="5"/>
  <c r="AF28" i="5" s="1"/>
  <c r="AP27" i="5"/>
  <c r="AO27" i="5"/>
  <c r="AM27" i="5"/>
  <c r="AL27" i="5"/>
  <c r="AA27" i="5"/>
  <c r="Z27" i="5"/>
  <c r="Y27" i="5"/>
  <c r="X27" i="5"/>
  <c r="W27" i="5"/>
  <c r="AB27" i="5" s="1"/>
  <c r="V27" i="5"/>
  <c r="AP26" i="5"/>
  <c r="AO26" i="5"/>
  <c r="AN26" i="5"/>
  <c r="AM26" i="5"/>
  <c r="AL26" i="5"/>
  <c r="AA26" i="5"/>
  <c r="Z26" i="5"/>
  <c r="Y26" i="5"/>
  <c r="X26" i="5"/>
  <c r="W26" i="5"/>
  <c r="V26" i="5"/>
  <c r="AP25" i="5"/>
  <c r="AO25" i="5"/>
  <c r="AM25" i="5"/>
  <c r="AL25" i="5"/>
  <c r="AA25" i="5"/>
  <c r="Z25" i="5"/>
  <c r="Y25" i="5"/>
  <c r="X25" i="5"/>
  <c r="W25" i="5"/>
  <c r="AB25" i="5" s="1"/>
  <c r="V25" i="5"/>
  <c r="AF25" i="5" s="1"/>
  <c r="AK25" i="5" s="1"/>
  <c r="AP24" i="5"/>
  <c r="AO24" i="5"/>
  <c r="AM24" i="5"/>
  <c r="AL24" i="5"/>
  <c r="AA24" i="5"/>
  <c r="Z24" i="5"/>
  <c r="Y24" i="5"/>
  <c r="X24" i="5"/>
  <c r="W24" i="5"/>
  <c r="V24" i="5"/>
  <c r="AP23" i="5"/>
  <c r="AO23" i="5"/>
  <c r="AM23" i="5"/>
  <c r="AL23" i="5"/>
  <c r="AA23" i="5"/>
  <c r="Z23" i="5"/>
  <c r="Y23" i="5"/>
  <c r="X23" i="5"/>
  <c r="W23" i="5"/>
  <c r="V23" i="5"/>
  <c r="AP22" i="5"/>
  <c r="AO22" i="5"/>
  <c r="AM22" i="5"/>
  <c r="AL22" i="5"/>
  <c r="AA22" i="5"/>
  <c r="Z22" i="5"/>
  <c r="Y22" i="5"/>
  <c r="X22" i="5"/>
  <c r="W22" i="5"/>
  <c r="V22" i="5"/>
  <c r="AB22" i="5" s="1"/>
  <c r="AP21" i="5"/>
  <c r="AO21" i="5"/>
  <c r="AM21" i="5"/>
  <c r="AL21" i="5"/>
  <c r="AA21" i="5"/>
  <c r="Z21" i="5"/>
  <c r="Y21" i="5"/>
  <c r="X21" i="5"/>
  <c r="W21" i="5"/>
  <c r="V21" i="5"/>
  <c r="AF21" i="5" s="1"/>
  <c r="AP20" i="5"/>
  <c r="AO20" i="5"/>
  <c r="AM20" i="5"/>
  <c r="AL20" i="5"/>
  <c r="AA20" i="5"/>
  <c r="Z20" i="5"/>
  <c r="Y20" i="5"/>
  <c r="X20" i="5"/>
  <c r="W20" i="5"/>
  <c r="V20" i="5"/>
  <c r="AF20" i="5" s="1"/>
  <c r="AP19" i="5"/>
  <c r="AO19" i="5"/>
  <c r="AM19" i="5"/>
  <c r="AL19" i="5"/>
  <c r="AA19" i="5"/>
  <c r="Z19" i="5"/>
  <c r="Y19" i="5"/>
  <c r="X19" i="5"/>
  <c r="W19" i="5"/>
  <c r="AB19" i="5" s="1"/>
  <c r="V19" i="5"/>
  <c r="AN52" i="5"/>
  <c r="AP18" i="5"/>
  <c r="AO18" i="5"/>
  <c r="AN18" i="5"/>
  <c r="AM18" i="5"/>
  <c r="AL18" i="5"/>
  <c r="AA18" i="5"/>
  <c r="Z18" i="5"/>
  <c r="Y18" i="5"/>
  <c r="AD18" i="5" s="1"/>
  <c r="X18" i="5"/>
  <c r="W18" i="5"/>
  <c r="V18" i="5"/>
  <c r="AP17" i="5"/>
  <c r="AO17" i="5"/>
  <c r="AM17" i="5"/>
  <c r="AL17" i="5"/>
  <c r="AA17" i="5"/>
  <c r="Z17" i="5"/>
  <c r="Y17" i="5"/>
  <c r="X17" i="5"/>
  <c r="W17" i="5"/>
  <c r="V17" i="5"/>
  <c r="AP16" i="5"/>
  <c r="AO16" i="5"/>
  <c r="AM16" i="5"/>
  <c r="AL16" i="5"/>
  <c r="AA16" i="5"/>
  <c r="Z16" i="5"/>
  <c r="Y16" i="5"/>
  <c r="X16" i="5"/>
  <c r="AC16" i="5" s="1"/>
  <c r="W16" i="5"/>
  <c r="AB16" i="5" s="1"/>
  <c r="V16" i="5"/>
  <c r="AP15" i="5"/>
  <c r="AO15" i="5"/>
  <c r="AN15" i="5"/>
  <c r="AM15" i="5"/>
  <c r="AL15" i="5"/>
  <c r="AA15" i="5"/>
  <c r="Z15" i="5"/>
  <c r="Y15" i="5"/>
  <c r="X15" i="5"/>
  <c r="AC15" i="5" s="1"/>
  <c r="W15" i="5"/>
  <c r="V15" i="5"/>
  <c r="AP14" i="5"/>
  <c r="AO14" i="5"/>
  <c r="AN14" i="5"/>
  <c r="AM14" i="5"/>
  <c r="AL14" i="5"/>
  <c r="AF14" i="5"/>
  <c r="AA14" i="5"/>
  <c r="Z14" i="5"/>
  <c r="Y14" i="5"/>
  <c r="X14" i="5"/>
  <c r="W14" i="5"/>
  <c r="V14" i="5"/>
  <c r="AP13" i="5"/>
  <c r="AO13" i="5"/>
  <c r="AM13" i="5"/>
  <c r="AL13" i="5"/>
  <c r="AA13" i="5"/>
  <c r="Z13" i="5"/>
  <c r="Y13" i="5"/>
  <c r="X13" i="5"/>
  <c r="W13" i="5"/>
  <c r="V13" i="5"/>
  <c r="AP12" i="5"/>
  <c r="AO12" i="5"/>
  <c r="AM12" i="5"/>
  <c r="AL12" i="5"/>
  <c r="AA12" i="5"/>
  <c r="Z12" i="5"/>
  <c r="Y12" i="5"/>
  <c r="X12" i="5"/>
  <c r="W12" i="5"/>
  <c r="V12" i="5"/>
  <c r="AP11" i="5"/>
  <c r="AO11" i="5"/>
  <c r="AM11" i="5"/>
  <c r="AL11" i="5"/>
  <c r="AA11" i="5"/>
  <c r="Z11" i="5"/>
  <c r="Y11" i="5"/>
  <c r="X11" i="5"/>
  <c r="W11" i="5"/>
  <c r="V11" i="5"/>
  <c r="AP10" i="5"/>
  <c r="AO10" i="5"/>
  <c r="AN10" i="5"/>
  <c r="AM10" i="5"/>
  <c r="AL10" i="5"/>
  <c r="AA10" i="5"/>
  <c r="Z10" i="5"/>
  <c r="AE10" i="5" s="1"/>
  <c r="Y10" i="5"/>
  <c r="X10" i="5"/>
  <c r="AC10" i="5" s="1"/>
  <c r="W10" i="5"/>
  <c r="V10" i="5"/>
  <c r="AP9" i="5"/>
  <c r="AO9" i="5"/>
  <c r="AN9" i="5"/>
  <c r="AM9" i="5"/>
  <c r="AL9" i="5"/>
  <c r="AA9" i="5"/>
  <c r="Z9" i="5"/>
  <c r="Y9" i="5"/>
  <c r="X9" i="5"/>
  <c r="AC9" i="5" s="1"/>
  <c r="W9" i="5"/>
  <c r="V9" i="5"/>
  <c r="C9" i="5"/>
  <c r="AT37" i="5" s="1"/>
  <c r="AS51" i="5"/>
  <c r="AE20" i="5" l="1"/>
  <c r="AE44" i="5"/>
  <c r="AB49" i="5"/>
  <c r="AB53" i="5"/>
  <c r="AF16" i="5"/>
  <c r="AK16" i="5" s="1"/>
  <c r="AF36" i="5"/>
  <c r="AK36" i="5" s="1"/>
  <c r="AE41" i="5"/>
  <c r="AJ41" i="5" s="1"/>
  <c r="AE9" i="5"/>
  <c r="AB14" i="5"/>
  <c r="AE28" i="5"/>
  <c r="AC54" i="5"/>
  <c r="AF15" i="5"/>
  <c r="AD39" i="5"/>
  <c r="AF49" i="5"/>
  <c r="AK49" i="5" s="1"/>
  <c r="AF9" i="5"/>
  <c r="AK9" i="5" s="1"/>
  <c r="AC14" i="5"/>
  <c r="AB17" i="5"/>
  <c r="AE39" i="5"/>
  <c r="AE54" i="5"/>
  <c r="AF54" i="5"/>
  <c r="AO43" i="3"/>
  <c r="AO11" i="3"/>
  <c r="AC11" i="5"/>
  <c r="AD29" i="5"/>
  <c r="AI29" i="5" s="1"/>
  <c r="AD46" i="5"/>
  <c r="AI46" i="5" s="1"/>
  <c r="AD50" i="5"/>
  <c r="AI50" i="5" s="1"/>
  <c r="AE47" i="5"/>
  <c r="AJ47" i="5" s="1"/>
  <c r="AC51" i="5"/>
  <c r="AH51" i="5" s="1"/>
  <c r="AC40" i="5"/>
  <c r="AH40" i="5" s="1"/>
  <c r="AD30" i="5"/>
  <c r="AI30" i="5" s="1"/>
  <c r="AE26" i="5"/>
  <c r="AJ26" i="5" s="1"/>
  <c r="AD12" i="5"/>
  <c r="AI12" i="5" s="1"/>
  <c r="AD52" i="5"/>
  <c r="AI52" i="5" s="1"/>
  <c r="AD10" i="5"/>
  <c r="AI10" i="5" s="1"/>
  <c r="AD32" i="5"/>
  <c r="AI32" i="5" s="1"/>
  <c r="AC24" i="5"/>
  <c r="AH24" i="5" s="1"/>
  <c r="AC48" i="5"/>
  <c r="AH48" i="5" s="1"/>
  <c r="AH9" i="5"/>
  <c r="AC19" i="5"/>
  <c r="AH19" i="5" s="1"/>
  <c r="AC53" i="5"/>
  <c r="AH53" i="5" s="1"/>
  <c r="AC27" i="5"/>
  <c r="AC43" i="5"/>
  <c r="AH43" i="5" s="1"/>
  <c r="AN14" i="3"/>
  <c r="AO36" i="3"/>
  <c r="AO28" i="3"/>
  <c r="AN13" i="3"/>
  <c r="AN17" i="3"/>
  <c r="AN38" i="3"/>
  <c r="AN15" i="3"/>
  <c r="AN37" i="3"/>
  <c r="AO54" i="3"/>
  <c r="AO46" i="3"/>
  <c r="AN25" i="3"/>
  <c r="AO20" i="3"/>
  <c r="AN16" i="3"/>
  <c r="AO44" i="3"/>
  <c r="AO33" i="3"/>
  <c r="AN29" i="3"/>
  <c r="AN30" i="3"/>
  <c r="AN41" i="3"/>
  <c r="AN27" i="3"/>
  <c r="AN10" i="3"/>
  <c r="AN47" i="3"/>
  <c r="AO9" i="3"/>
  <c r="AN50" i="3"/>
  <c r="AO19" i="3"/>
  <c r="AO45" i="3"/>
  <c r="AN45" i="3"/>
  <c r="AN18" i="3"/>
  <c r="AO18" i="3"/>
  <c r="AO32" i="3"/>
  <c r="AN32" i="3"/>
  <c r="AO24" i="3"/>
  <c r="AN24" i="3"/>
  <c r="AO26" i="3"/>
  <c r="AN26" i="3"/>
  <c r="AN42" i="3"/>
  <c r="AO42" i="3"/>
  <c r="AO40" i="3"/>
  <c r="AN40" i="3"/>
  <c r="AO35" i="3"/>
  <c r="AN35" i="3"/>
  <c r="AO23" i="3"/>
  <c r="AN23" i="3"/>
  <c r="AO21" i="3"/>
  <c r="AN21" i="3"/>
  <c r="AO22" i="3"/>
  <c r="AN22" i="3"/>
  <c r="AO53" i="3"/>
  <c r="AN53" i="3"/>
  <c r="AO51" i="3"/>
  <c r="AN51" i="3"/>
  <c r="AO34" i="3"/>
  <c r="AN34" i="3"/>
  <c r="AO39" i="3"/>
  <c r="AN39" i="3"/>
  <c r="AO31" i="3"/>
  <c r="AN31" i="3"/>
  <c r="AO48" i="3"/>
  <c r="AN48" i="3"/>
  <c r="AO12" i="3"/>
  <c r="AN12" i="3"/>
  <c r="AO52" i="3"/>
  <c r="AN52" i="3"/>
  <c r="AT13" i="5"/>
  <c r="AK28" i="5"/>
  <c r="AK44" i="5"/>
  <c r="AK42" i="5"/>
  <c r="AK14" i="5"/>
  <c r="AK21" i="5"/>
  <c r="AK33" i="5"/>
  <c r="AK41" i="5"/>
  <c r="AK54" i="5"/>
  <c r="AK15" i="5"/>
  <c r="AK20" i="5"/>
  <c r="AK45" i="5"/>
  <c r="AK53" i="5"/>
  <c r="AD9" i="5"/>
  <c r="AI9" i="5" s="1"/>
  <c r="AT21" i="5"/>
  <c r="AE31" i="5"/>
  <c r="AD35" i="5"/>
  <c r="AI35" i="5" s="1"/>
  <c r="AE36" i="5"/>
  <c r="AJ36" i="5" s="1"/>
  <c r="AF37" i="5"/>
  <c r="AK37" i="5" s="1"/>
  <c r="AE38" i="5"/>
  <c r="AJ38" i="5" s="1"/>
  <c r="AC42" i="5"/>
  <c r="AH42" i="5" s="1"/>
  <c r="AN42" i="5"/>
  <c r="AR42" i="5" s="1"/>
  <c r="AR10" i="5"/>
  <c r="AB11" i="5"/>
  <c r="AB9" i="5"/>
  <c r="AB15" i="5"/>
  <c r="AE16" i="5"/>
  <c r="AJ16" i="5" s="1"/>
  <c r="AE18" i="5"/>
  <c r="AJ18" i="5" s="1"/>
  <c r="AB21" i="5"/>
  <c r="AC22" i="5"/>
  <c r="AS26" i="5"/>
  <c r="AC28" i="5"/>
  <c r="AH28" i="5" s="1"/>
  <c r="AF38" i="5"/>
  <c r="AK38" i="5" s="1"/>
  <c r="AS40" i="5"/>
  <c r="AB43" i="5"/>
  <c r="AG43" i="5" s="1"/>
  <c r="AC45" i="5"/>
  <c r="AH45" i="5" s="1"/>
  <c r="AB10" i="5"/>
  <c r="AF11" i="5"/>
  <c r="AK11" i="5" s="1"/>
  <c r="AC17" i="5"/>
  <c r="AH17" i="5" s="1"/>
  <c r="AD19" i="5"/>
  <c r="AI19" i="5" s="1"/>
  <c r="AC21" i="5"/>
  <c r="AH21" i="5" s="1"/>
  <c r="AD27" i="5"/>
  <c r="AI27" i="5" s="1"/>
  <c r="AE30" i="5"/>
  <c r="AJ30" i="5" s="1"/>
  <c r="AN33" i="5"/>
  <c r="AR33" i="5" s="1"/>
  <c r="AE46" i="5"/>
  <c r="AJ46" i="5" s="1"/>
  <c r="AE49" i="5"/>
  <c r="AJ49" i="5" s="1"/>
  <c r="AD51" i="5"/>
  <c r="AI51" i="5" s="1"/>
  <c r="AE52" i="5"/>
  <c r="AJ52" i="5" s="1"/>
  <c r="AF53" i="5"/>
  <c r="AF30" i="5"/>
  <c r="AK30" i="5" s="1"/>
  <c r="AD43" i="5"/>
  <c r="AI43" i="5" s="1"/>
  <c r="AF46" i="5"/>
  <c r="AK46" i="5" s="1"/>
  <c r="AN49" i="5"/>
  <c r="AR49" i="5" s="1"/>
  <c r="AJ54" i="5"/>
  <c r="AF10" i="5"/>
  <c r="AK10" i="5" s="1"/>
  <c r="AB24" i="5"/>
  <c r="AB30" i="5"/>
  <c r="AD42" i="5"/>
  <c r="AI42" i="5" s="1"/>
  <c r="AB45" i="5"/>
  <c r="AG45" i="5" s="1"/>
  <c r="AB46" i="5"/>
  <c r="AG46" i="5" s="1"/>
  <c r="AB48" i="5"/>
  <c r="AG48" i="5" s="1"/>
  <c r="AC50" i="5"/>
  <c r="AH50" i="5" s="1"/>
  <c r="AF52" i="5"/>
  <c r="AK52" i="5" s="1"/>
  <c r="AJ10" i="5"/>
  <c r="AJ9" i="5"/>
  <c r="AC30" i="5"/>
  <c r="AH30" i="5" s="1"/>
  <c r="AB34" i="5"/>
  <c r="AG34" i="5" s="1"/>
  <c r="AC46" i="5"/>
  <c r="AH46" i="5" s="1"/>
  <c r="AE45" i="5"/>
  <c r="AJ45" i="5" s="1"/>
  <c r="AE14" i="5"/>
  <c r="AJ14" i="5" s="1"/>
  <c r="AE25" i="5"/>
  <c r="AJ25" i="5" s="1"/>
  <c r="AR14" i="5"/>
  <c r="AE13" i="5"/>
  <c r="AJ13" i="5" s="1"/>
  <c r="AF13" i="5"/>
  <c r="AK13" i="5" s="1"/>
  <c r="AC13" i="5"/>
  <c r="AH13" i="5" s="1"/>
  <c r="AB13" i="5"/>
  <c r="AG13" i="5" s="1"/>
  <c r="AC23" i="5"/>
  <c r="AH23" i="5" s="1"/>
  <c r="AB23" i="5"/>
  <c r="AG23" i="5" s="1"/>
  <c r="AE23" i="5"/>
  <c r="AJ23" i="5" s="1"/>
  <c r="AD23" i="5"/>
  <c r="AI23" i="5" s="1"/>
  <c r="AR9" i="5"/>
  <c r="AD13" i="5"/>
  <c r="AI13" i="5" s="1"/>
  <c r="AT24" i="5"/>
  <c r="AT12" i="5"/>
  <c r="AR15" i="5"/>
  <c r="AD36" i="5"/>
  <c r="AI36" i="5" s="1"/>
  <c r="AG49" i="5"/>
  <c r="AS54" i="5"/>
  <c r="AS46" i="5"/>
  <c r="AS38" i="5"/>
  <c r="AS30" i="5"/>
  <c r="AS22" i="5"/>
  <c r="AS17" i="5"/>
  <c r="AS47" i="5"/>
  <c r="AS39" i="5"/>
  <c r="AS31" i="5"/>
  <c r="AS23" i="5"/>
  <c r="AS18" i="5"/>
  <c r="AS52" i="5"/>
  <c r="AS44" i="5"/>
  <c r="AS36" i="5"/>
  <c r="AS28" i="5"/>
  <c r="AS20" i="5"/>
  <c r="AS49" i="5"/>
  <c r="AS41" i="5"/>
  <c r="AS33" i="5"/>
  <c r="AS25" i="5"/>
  <c r="AS42" i="5"/>
  <c r="AS35" i="5"/>
  <c r="AS24" i="5"/>
  <c r="AS21" i="5"/>
  <c r="AS15" i="5"/>
  <c r="AS12" i="5"/>
  <c r="AS9" i="5"/>
  <c r="AS53" i="5"/>
  <c r="AS29" i="5"/>
  <c r="AS50" i="5"/>
  <c r="AS43" i="5"/>
  <c r="AS32" i="5"/>
  <c r="AS14" i="5"/>
  <c r="AS19" i="5"/>
  <c r="AS11" i="5"/>
  <c r="AS37" i="5"/>
  <c r="AS13" i="5"/>
  <c r="AS48" i="5"/>
  <c r="AS34" i="5"/>
  <c r="AS27" i="5"/>
  <c r="AS10" i="5"/>
  <c r="AS45" i="5"/>
  <c r="AT31" i="5"/>
  <c r="AC12" i="5"/>
  <c r="AH12" i="5" s="1"/>
  <c r="AB12" i="5"/>
  <c r="AG12" i="5" s="1"/>
  <c r="AF12" i="5"/>
  <c r="AK12" i="5" s="1"/>
  <c r="AE12" i="5"/>
  <c r="AJ12" i="5" s="1"/>
  <c r="AS16" i="5"/>
  <c r="AF23" i="5"/>
  <c r="AK23" i="5" s="1"/>
  <c r="AE32" i="5"/>
  <c r="AJ32" i="5" s="1"/>
  <c r="AF32" i="5"/>
  <c r="AK32" i="5" s="1"/>
  <c r="AC32" i="5"/>
  <c r="AH32" i="5" s="1"/>
  <c r="AB32" i="5"/>
  <c r="AG32" i="5" s="1"/>
  <c r="AG51" i="5"/>
  <c r="AG35" i="5"/>
  <c r="AG27" i="5"/>
  <c r="AG19" i="5"/>
  <c r="AG24" i="5"/>
  <c r="AG53" i="5"/>
  <c r="AG21" i="5"/>
  <c r="AG16" i="5"/>
  <c r="AG33" i="5"/>
  <c r="AG30" i="5"/>
  <c r="AG15" i="5"/>
  <c r="AG41" i="5"/>
  <c r="AG38" i="5"/>
  <c r="AG17" i="5"/>
  <c r="AG10" i="5"/>
  <c r="AG9" i="5"/>
  <c r="AG54" i="5"/>
  <c r="AG25" i="5"/>
  <c r="AG22" i="5"/>
  <c r="AG14" i="5"/>
  <c r="AT51" i="5"/>
  <c r="AT43" i="5"/>
  <c r="AT35" i="5"/>
  <c r="AT27" i="5"/>
  <c r="AT19" i="5"/>
  <c r="AT52" i="5"/>
  <c r="AT44" i="5"/>
  <c r="AT36" i="5"/>
  <c r="AT28" i="5"/>
  <c r="AT20" i="5"/>
  <c r="AT15" i="5"/>
  <c r="AT49" i="5"/>
  <c r="AT41" i="5"/>
  <c r="AT33" i="5"/>
  <c r="AT25" i="5"/>
  <c r="AT54" i="5"/>
  <c r="AT46" i="5"/>
  <c r="AT38" i="5"/>
  <c r="AT30" i="5"/>
  <c r="AT22" i="5"/>
  <c r="AT17" i="5"/>
  <c r="AT53" i="5"/>
  <c r="AT9" i="5"/>
  <c r="AT14" i="5"/>
  <c r="AT50" i="5"/>
  <c r="AT39" i="5"/>
  <c r="AT32" i="5"/>
  <c r="AT18" i="5"/>
  <c r="AT29" i="5"/>
  <c r="AT11" i="5"/>
  <c r="AT47" i="5"/>
  <c r="AT40" i="5"/>
  <c r="AT26" i="5"/>
  <c r="AT16" i="5"/>
  <c r="AT48" i="5"/>
  <c r="AT34" i="5"/>
  <c r="AT23" i="5"/>
  <c r="AT10" i="5"/>
  <c r="AT45" i="5"/>
  <c r="AT42" i="5"/>
  <c r="AG11" i="5"/>
  <c r="AB26" i="5"/>
  <c r="AG26" i="5" s="1"/>
  <c r="AF26" i="5"/>
  <c r="AK26" i="5" s="1"/>
  <c r="AD26" i="5"/>
  <c r="AI26" i="5" s="1"/>
  <c r="AC26" i="5"/>
  <c r="AH26" i="5" s="1"/>
  <c r="AF29" i="5"/>
  <c r="AK29" i="5" s="1"/>
  <c r="AE29" i="5"/>
  <c r="AJ29" i="5" s="1"/>
  <c r="AC29" i="5"/>
  <c r="AH29" i="5" s="1"/>
  <c r="AB29" i="5"/>
  <c r="AG29" i="5" s="1"/>
  <c r="AH11" i="5"/>
  <c r="AD15" i="5"/>
  <c r="AI15" i="5" s="1"/>
  <c r="AR18" i="5"/>
  <c r="AN53" i="5"/>
  <c r="AR53" i="5" s="1"/>
  <c r="AN45" i="5"/>
  <c r="AR45" i="5" s="1"/>
  <c r="AN37" i="5"/>
  <c r="AR37" i="5" s="1"/>
  <c r="AN29" i="5"/>
  <c r="AR29" i="5" s="1"/>
  <c r="AN21" i="5"/>
  <c r="AR21" i="5" s="1"/>
  <c r="AN16" i="5"/>
  <c r="AR16" i="5" s="1"/>
  <c r="AN54" i="5"/>
  <c r="AR54" i="5" s="1"/>
  <c r="AN46" i="5"/>
  <c r="AR46" i="5" s="1"/>
  <c r="AN38" i="5"/>
  <c r="AR38" i="5" s="1"/>
  <c r="AN30" i="5"/>
  <c r="AR30" i="5" s="1"/>
  <c r="AN22" i="5"/>
  <c r="AR22" i="5" s="1"/>
  <c r="AN17" i="5"/>
  <c r="AR17" i="5" s="1"/>
  <c r="AN51" i="5"/>
  <c r="AR51" i="5" s="1"/>
  <c r="AN43" i="5"/>
  <c r="AR43" i="5" s="1"/>
  <c r="AN35" i="5"/>
  <c r="AR35" i="5" s="1"/>
  <c r="AN27" i="5"/>
  <c r="AR27" i="5" s="1"/>
  <c r="AN19" i="5"/>
  <c r="AR19" i="5" s="1"/>
  <c r="AN48" i="5"/>
  <c r="AR48" i="5" s="1"/>
  <c r="AN40" i="5"/>
  <c r="AR40" i="5" s="1"/>
  <c r="AN32" i="5"/>
  <c r="AR32" i="5" s="1"/>
  <c r="AN24" i="5"/>
  <c r="AR24" i="5" s="1"/>
  <c r="AN20" i="5"/>
  <c r="AR20" i="5" s="1"/>
  <c r="AC31" i="5"/>
  <c r="AH31" i="5" s="1"/>
  <c r="AB31" i="5"/>
  <c r="AG31" i="5" s="1"/>
  <c r="AF31" i="5"/>
  <c r="AK31" i="5" s="1"/>
  <c r="AE34" i="5"/>
  <c r="AJ34" i="5" s="1"/>
  <c r="AD37" i="5"/>
  <c r="AI37" i="5" s="1"/>
  <c r="AR39" i="5"/>
  <c r="AE40" i="5"/>
  <c r="AJ40" i="5" s="1"/>
  <c r="AF40" i="5"/>
  <c r="AK40" i="5" s="1"/>
  <c r="AD40" i="5"/>
  <c r="AI40" i="5" s="1"/>
  <c r="AN47" i="5"/>
  <c r="AR47" i="5" s="1"/>
  <c r="AD54" i="5"/>
  <c r="AI54" i="5" s="1"/>
  <c r="AN12" i="5"/>
  <c r="AR12" i="5" s="1"/>
  <c r="AH14" i="5"/>
  <c r="AE15" i="5"/>
  <c r="AJ15" i="5" s="1"/>
  <c r="AD16" i="5"/>
  <c r="AI16" i="5" s="1"/>
  <c r="AH22" i="5"/>
  <c r="AD28" i="5"/>
  <c r="AI28" i="5" s="1"/>
  <c r="AF34" i="5"/>
  <c r="AK34" i="5" s="1"/>
  <c r="AR36" i="5"/>
  <c r="AE37" i="5"/>
  <c r="AJ37" i="5" s="1"/>
  <c r="AN41" i="5"/>
  <c r="AR41" i="5" s="1"/>
  <c r="AN44" i="5"/>
  <c r="AR44" i="5" s="1"/>
  <c r="AN50" i="5"/>
  <c r="AR50" i="5" s="1"/>
  <c r="AH54" i="5"/>
  <c r="AD11" i="5"/>
  <c r="AI11" i="5" s="1"/>
  <c r="AN13" i="5"/>
  <c r="AR13" i="5" s="1"/>
  <c r="AH15" i="5"/>
  <c r="AD20" i="5"/>
  <c r="AI20" i="5" s="1"/>
  <c r="AE24" i="5"/>
  <c r="AJ24" i="5" s="1"/>
  <c r="AF24" i="5"/>
  <c r="AK24" i="5" s="1"/>
  <c r="AD24" i="5"/>
  <c r="AI24" i="5" s="1"/>
  <c r="AN31" i="5"/>
  <c r="AR31" i="5" s="1"/>
  <c r="AH35" i="5"/>
  <c r="AD38" i="5"/>
  <c r="AI38" i="5" s="1"/>
  <c r="AD41" i="5"/>
  <c r="AI41" i="5" s="1"/>
  <c r="AC47" i="5"/>
  <c r="AH47" i="5" s="1"/>
  <c r="AB47" i="5"/>
  <c r="AG47" i="5" s="1"/>
  <c r="AF47" i="5"/>
  <c r="AK47" i="5" s="1"/>
  <c r="AB50" i="5"/>
  <c r="AG50" i="5" s="1"/>
  <c r="AE50" i="5"/>
  <c r="AJ50" i="5" s="1"/>
  <c r="AD53" i="5"/>
  <c r="AI53" i="5" s="1"/>
  <c r="AI34" i="5"/>
  <c r="AI47" i="5"/>
  <c r="AI39" i="5"/>
  <c r="AI18" i="5"/>
  <c r="AH37" i="5"/>
  <c r="AH16" i="5"/>
  <c r="AH10" i="5"/>
  <c r="AD21" i="5"/>
  <c r="AI21" i="5" s="1"/>
  <c r="AN25" i="5"/>
  <c r="AR25" i="5" s="1"/>
  <c r="AN28" i="5"/>
  <c r="AR28" i="5" s="1"/>
  <c r="AN34" i="5"/>
  <c r="AR34" i="5" s="1"/>
  <c r="AH38" i="5"/>
  <c r="AD44" i="5"/>
  <c r="AI44" i="5" s="1"/>
  <c r="AF50" i="5"/>
  <c r="AK50" i="5" s="1"/>
  <c r="AR52" i="5"/>
  <c r="AE53" i="5"/>
  <c r="AJ53" i="5" s="1"/>
  <c r="AJ39" i="5"/>
  <c r="AJ31" i="5"/>
  <c r="AJ44" i="5"/>
  <c r="AJ28" i="5"/>
  <c r="AJ20" i="5"/>
  <c r="AE11" i="5"/>
  <c r="AJ11" i="5" s="1"/>
  <c r="AD14" i="5"/>
  <c r="AI14" i="5" s="1"/>
  <c r="AR26" i="5"/>
  <c r="AN11" i="5"/>
  <c r="AR11" i="5" s="1"/>
  <c r="AC18" i="5"/>
  <c r="AH18" i="5" s="1"/>
  <c r="AB18" i="5"/>
  <c r="AG18" i="5" s="1"/>
  <c r="AF18" i="5"/>
  <c r="AK18" i="5" s="1"/>
  <c r="AE21" i="5"/>
  <c r="AJ21" i="5" s="1"/>
  <c r="AN23" i="5"/>
  <c r="AR23" i="5" s="1"/>
  <c r="AH27" i="5"/>
  <c r="AD31" i="5"/>
  <c r="AI31" i="5" s="1"/>
  <c r="AE33" i="5"/>
  <c r="AJ33" i="5" s="1"/>
  <c r="AC34" i="5"/>
  <c r="AH34" i="5" s="1"/>
  <c r="AB37" i="5"/>
  <c r="AG37" i="5" s="1"/>
  <c r="AC39" i="5"/>
  <c r="AH39" i="5" s="1"/>
  <c r="AB39" i="5"/>
  <c r="AG39" i="5" s="1"/>
  <c r="AF39" i="5"/>
  <c r="AK39" i="5" s="1"/>
  <c r="AB40" i="5"/>
  <c r="AG40" i="5" s="1"/>
  <c r="AB42" i="5"/>
  <c r="AG42" i="5" s="1"/>
  <c r="AE42" i="5"/>
  <c r="AJ42" i="5" s="1"/>
  <c r="AD45" i="5"/>
  <c r="AI45" i="5" s="1"/>
  <c r="AE48" i="5"/>
  <c r="AJ48" i="5" s="1"/>
  <c r="AF48" i="5"/>
  <c r="AK48" i="5" s="1"/>
  <c r="AD48" i="5"/>
  <c r="AI48" i="5" s="1"/>
  <c r="AD17" i="5"/>
  <c r="AI17" i="5" s="1"/>
  <c r="AE19" i="5"/>
  <c r="AJ19" i="5" s="1"/>
  <c r="AB20" i="5"/>
  <c r="AG20" i="5" s="1"/>
  <c r="AD22" i="5"/>
  <c r="AI22" i="5" s="1"/>
  <c r="AC25" i="5"/>
  <c r="AH25" i="5" s="1"/>
  <c r="AE27" i="5"/>
  <c r="AJ27" i="5" s="1"/>
  <c r="AB28" i="5"/>
  <c r="AG28" i="5" s="1"/>
  <c r="AC33" i="5"/>
  <c r="AH33" i="5" s="1"/>
  <c r="AE35" i="5"/>
  <c r="AJ35" i="5" s="1"/>
  <c r="AB36" i="5"/>
  <c r="AG36" i="5" s="1"/>
  <c r="AC41" i="5"/>
  <c r="AH41" i="5" s="1"/>
  <c r="AE43" i="5"/>
  <c r="AJ43" i="5" s="1"/>
  <c r="AB44" i="5"/>
  <c r="AG44" i="5" s="1"/>
  <c r="AC49" i="5"/>
  <c r="AH49" i="5" s="1"/>
  <c r="AE51" i="5"/>
  <c r="AJ51" i="5" s="1"/>
  <c r="AB52" i="5"/>
  <c r="AG52" i="5" s="1"/>
  <c r="AE17" i="5"/>
  <c r="AJ17" i="5" s="1"/>
  <c r="AF19" i="5"/>
  <c r="AK19" i="5" s="1"/>
  <c r="AC20" i="5"/>
  <c r="AH20" i="5" s="1"/>
  <c r="AE22" i="5"/>
  <c r="AJ22" i="5" s="1"/>
  <c r="AD25" i="5"/>
  <c r="AI25" i="5" s="1"/>
  <c r="AF27" i="5"/>
  <c r="AK27" i="5" s="1"/>
  <c r="AD33" i="5"/>
  <c r="AI33" i="5" s="1"/>
  <c r="AF35" i="5"/>
  <c r="AK35" i="5" s="1"/>
  <c r="AC36" i="5"/>
  <c r="AH36" i="5" s="1"/>
  <c r="AF43" i="5"/>
  <c r="AK43" i="5" s="1"/>
  <c r="AC44" i="5"/>
  <c r="AH44" i="5" s="1"/>
  <c r="AD49" i="5"/>
  <c r="AI49" i="5" s="1"/>
  <c r="AF51" i="5"/>
  <c r="AK51" i="5" s="1"/>
  <c r="AC52" i="5"/>
  <c r="AH52" i="5" s="1"/>
  <c r="AF17" i="5"/>
  <c r="AK17" i="5" s="1"/>
  <c r="AF22" i="5"/>
  <c r="AK22" i="5" s="1"/>
  <c r="AQ9" i="5" l="1"/>
  <c r="AV9" i="5" s="1"/>
  <c r="AQ46" i="5"/>
  <c r="AV46" i="5" s="1"/>
  <c r="AQ44" i="5"/>
  <c r="AV44" i="5" s="1"/>
  <c r="AQ27" i="5"/>
  <c r="AV27" i="5" s="1"/>
  <c r="AQ52" i="5"/>
  <c r="AV52" i="5" s="1"/>
  <c r="AQ17" i="5"/>
  <c r="AU17" i="5" s="1"/>
  <c r="AQ28" i="5"/>
  <c r="AV28" i="5" s="1"/>
  <c r="AQ32" i="5"/>
  <c r="AU32" i="5" s="1"/>
  <c r="AQ12" i="5"/>
  <c r="AU12" i="5" s="1"/>
  <c r="AQ18" i="5"/>
  <c r="AV18" i="5" s="1"/>
  <c r="AQ47" i="5"/>
  <c r="AV47" i="5" s="1"/>
  <c r="AQ50" i="5"/>
  <c r="AV50" i="5" s="1"/>
  <c r="AQ40" i="5"/>
  <c r="AV40" i="5" s="1"/>
  <c r="AQ15" i="5"/>
  <c r="AU15" i="5" s="1"/>
  <c r="AQ20" i="5"/>
  <c r="AQ42" i="5"/>
  <c r="AQ31" i="5"/>
  <c r="AQ36" i="5"/>
  <c r="AU44" i="5"/>
  <c r="AQ29" i="5"/>
  <c r="AQ13" i="5"/>
  <c r="AQ16" i="5"/>
  <c r="AQ34" i="5"/>
  <c r="AQ21" i="5"/>
  <c r="AQ48" i="5"/>
  <c r="AQ11" i="5"/>
  <c r="AQ19" i="5"/>
  <c r="AQ10" i="5"/>
  <c r="AQ14" i="5"/>
  <c r="AQ45" i="5"/>
  <c r="AQ22" i="5"/>
  <c r="AQ53" i="5"/>
  <c r="AQ43" i="5"/>
  <c r="AQ37" i="5"/>
  <c r="AQ35" i="5"/>
  <c r="AQ25" i="5"/>
  <c r="AQ38" i="5"/>
  <c r="AQ30" i="5"/>
  <c r="AQ24" i="5"/>
  <c r="AQ51" i="5"/>
  <c r="AQ49" i="5"/>
  <c r="AQ39" i="5"/>
  <c r="AQ23" i="5"/>
  <c r="AQ54" i="5"/>
  <c r="AQ41" i="5"/>
  <c r="AQ33" i="5"/>
  <c r="AQ26" i="5"/>
  <c r="AU46" i="5" l="1"/>
  <c r="AU52" i="5"/>
  <c r="AV17" i="5"/>
  <c r="AV32" i="5"/>
  <c r="AU40" i="5"/>
  <c r="AU9" i="5"/>
  <c r="AV12" i="5"/>
  <c r="AU28" i="5"/>
  <c r="AV15" i="5"/>
  <c r="AU18" i="5"/>
  <c r="AU50" i="5"/>
  <c r="AU27" i="5"/>
  <c r="AU47" i="5"/>
  <c r="AV23" i="5"/>
  <c r="AU23" i="5"/>
  <c r="AV38" i="5"/>
  <c r="AU38" i="5"/>
  <c r="AV43" i="5"/>
  <c r="AU43" i="5"/>
  <c r="AU48" i="5"/>
  <c r="AV48" i="5"/>
  <c r="AV42" i="5"/>
  <c r="AU42" i="5"/>
  <c r="AU25" i="5"/>
  <c r="AV25" i="5"/>
  <c r="AV53" i="5"/>
  <c r="AU53" i="5"/>
  <c r="AV21" i="5"/>
  <c r="AU21" i="5"/>
  <c r="AV29" i="5"/>
  <c r="AU29" i="5"/>
  <c r="AU20" i="5"/>
  <c r="AV20" i="5"/>
  <c r="AV22" i="5"/>
  <c r="AU22" i="5"/>
  <c r="AV34" i="5"/>
  <c r="AU34" i="5"/>
  <c r="AV16" i="5"/>
  <c r="AU16" i="5"/>
  <c r="AU49" i="5"/>
  <c r="AV49" i="5"/>
  <c r="AU14" i="5"/>
  <c r="AV14" i="5"/>
  <c r="AU36" i="5"/>
  <c r="AV36" i="5"/>
  <c r="AV51" i="5"/>
  <c r="AU51" i="5"/>
  <c r="AV10" i="5"/>
  <c r="AU10" i="5"/>
  <c r="AU41" i="5"/>
  <c r="AV41" i="5"/>
  <c r="AU24" i="5"/>
  <c r="AV24" i="5"/>
  <c r="AV19" i="5"/>
  <c r="AU19" i="5"/>
  <c r="AU39" i="5"/>
  <c r="AV39" i="5"/>
  <c r="AV45" i="5"/>
  <c r="AU45" i="5"/>
  <c r="AV26" i="5"/>
  <c r="AU26" i="5"/>
  <c r="AV35" i="5"/>
  <c r="AU35" i="5"/>
  <c r="AV13" i="5"/>
  <c r="AU13" i="5"/>
  <c r="AU33" i="5"/>
  <c r="AV33" i="5"/>
  <c r="AV31" i="5"/>
  <c r="AU31" i="5"/>
  <c r="AV54" i="5"/>
  <c r="AU54" i="5"/>
  <c r="AV30" i="5"/>
  <c r="AU30" i="5"/>
  <c r="AV37" i="5"/>
  <c r="AU37" i="5"/>
  <c r="AV11" i="5"/>
  <c r="AU11" i="5"/>
  <c r="F51" i="1" l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6" i="1"/>
  <c r="F35" i="1"/>
  <c r="F34" i="1"/>
  <c r="F33" i="1"/>
  <c r="F32" i="1"/>
  <c r="F31" i="1"/>
  <c r="F30" i="1"/>
  <c r="F29" i="1"/>
  <c r="F28" i="1"/>
  <c r="F27" i="1"/>
  <c r="F26" i="1"/>
  <c r="F25" i="1"/>
  <c r="C39" i="1"/>
  <c r="D39" i="1"/>
  <c r="C40" i="1"/>
  <c r="D40" i="1"/>
  <c r="C41" i="1"/>
  <c r="D41" i="1"/>
  <c r="C42" i="1"/>
  <c r="D42" i="1"/>
  <c r="C43" i="1"/>
  <c r="D43" i="1"/>
  <c r="C44" i="1"/>
  <c r="D44" i="1"/>
  <c r="C45" i="1"/>
  <c r="D45" i="1"/>
  <c r="C46" i="1"/>
  <c r="D46" i="1"/>
  <c r="C47" i="1"/>
  <c r="D47" i="1"/>
  <c r="C48" i="1"/>
  <c r="D48" i="1"/>
  <c r="C49" i="1"/>
  <c r="D49" i="1"/>
  <c r="C50" i="1"/>
  <c r="D50" i="1"/>
  <c r="C51" i="1"/>
  <c r="D51" i="1"/>
  <c r="D38" i="1"/>
  <c r="C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38" i="1"/>
  <c r="AO10" i="4"/>
  <c r="AP10" i="4"/>
  <c r="AO11" i="4"/>
  <c r="AP11" i="4"/>
  <c r="AO12" i="4"/>
  <c r="AP12" i="4"/>
  <c r="AO13" i="4"/>
  <c r="AP13" i="4"/>
  <c r="AO14" i="4"/>
  <c r="AP14" i="4"/>
  <c r="AO15" i="4"/>
  <c r="AP15" i="4"/>
  <c r="AO16" i="4"/>
  <c r="AP16" i="4"/>
  <c r="AO17" i="4"/>
  <c r="AP17" i="4"/>
  <c r="AO18" i="4"/>
  <c r="AP18" i="4"/>
  <c r="AO19" i="4"/>
  <c r="AP19" i="4"/>
  <c r="AO20" i="4"/>
  <c r="AP20" i="4"/>
  <c r="AO21" i="4"/>
  <c r="AP21" i="4"/>
  <c r="AO22" i="4"/>
  <c r="AP22" i="4"/>
  <c r="AO23" i="4"/>
  <c r="AP23" i="4"/>
  <c r="AO24" i="4"/>
  <c r="AP24" i="4"/>
  <c r="AO25" i="4"/>
  <c r="AP25" i="4"/>
  <c r="AO26" i="4"/>
  <c r="AP26" i="4"/>
  <c r="AO27" i="4"/>
  <c r="AP27" i="4"/>
  <c r="AO28" i="4"/>
  <c r="AP28" i="4"/>
  <c r="AO29" i="4"/>
  <c r="AP29" i="4"/>
  <c r="AO30" i="4"/>
  <c r="AP30" i="4"/>
  <c r="AO31" i="4"/>
  <c r="AP31" i="4"/>
  <c r="AO32" i="4"/>
  <c r="AP32" i="4"/>
  <c r="AO33" i="4"/>
  <c r="AP33" i="4"/>
  <c r="AO34" i="4"/>
  <c r="AP34" i="4"/>
  <c r="AO35" i="4"/>
  <c r="AP35" i="4"/>
  <c r="AO36" i="4"/>
  <c r="AP36" i="4"/>
  <c r="AO37" i="4"/>
  <c r="AP37" i="4"/>
  <c r="AO38" i="4"/>
  <c r="AP38" i="4"/>
  <c r="AO39" i="4"/>
  <c r="AP39" i="4"/>
  <c r="AO40" i="4"/>
  <c r="AP40" i="4"/>
  <c r="AO41" i="4"/>
  <c r="AP41" i="4"/>
  <c r="AO42" i="4"/>
  <c r="AP42" i="4"/>
  <c r="AO43" i="4"/>
  <c r="AP43" i="4"/>
  <c r="AO44" i="4"/>
  <c r="AP44" i="4"/>
  <c r="AO45" i="4"/>
  <c r="AP45" i="4"/>
  <c r="AO46" i="4"/>
  <c r="AP46" i="4"/>
  <c r="AO47" i="4"/>
  <c r="AP47" i="4"/>
  <c r="AO48" i="4"/>
  <c r="AP48" i="4"/>
  <c r="AO49" i="4"/>
  <c r="AP49" i="4"/>
  <c r="AO50" i="4"/>
  <c r="AP50" i="4"/>
  <c r="AO51" i="4"/>
  <c r="AP51" i="4"/>
  <c r="AO52" i="4"/>
  <c r="AP52" i="4"/>
  <c r="AO53" i="4"/>
  <c r="AP53" i="4"/>
  <c r="AO54" i="4"/>
  <c r="AP54" i="4"/>
  <c r="AP9" i="4"/>
  <c r="AO9" i="4"/>
  <c r="AM9" i="4"/>
  <c r="AL10" i="4"/>
  <c r="AL11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M10" i="4"/>
  <c r="AM11" i="4"/>
  <c r="AM12" i="4"/>
  <c r="AM13" i="4"/>
  <c r="AM14" i="4"/>
  <c r="AM15" i="4"/>
  <c r="AM16" i="4"/>
  <c r="AM17" i="4"/>
  <c r="AM18" i="4"/>
  <c r="AM19" i="4"/>
  <c r="AM20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M43" i="4"/>
  <c r="AM44" i="4"/>
  <c r="AM45" i="4"/>
  <c r="AM46" i="4"/>
  <c r="AM47" i="4"/>
  <c r="AM48" i="4"/>
  <c r="AM49" i="4"/>
  <c r="AM50" i="4"/>
  <c r="AM51" i="4"/>
  <c r="AM52" i="4"/>
  <c r="AM53" i="4"/>
  <c r="AM54" i="4"/>
  <c r="AL9" i="4"/>
  <c r="Y10" i="4"/>
  <c r="Z10" i="4"/>
  <c r="AA10" i="4"/>
  <c r="Y11" i="4"/>
  <c r="Z11" i="4"/>
  <c r="AA11" i="4"/>
  <c r="Y12" i="4"/>
  <c r="Z12" i="4"/>
  <c r="AA12" i="4"/>
  <c r="Y13" i="4"/>
  <c r="Z13" i="4"/>
  <c r="AA13" i="4"/>
  <c r="Y14" i="4"/>
  <c r="Z14" i="4"/>
  <c r="AA14" i="4"/>
  <c r="Y15" i="4"/>
  <c r="Z15" i="4"/>
  <c r="AA15" i="4"/>
  <c r="Y16" i="4"/>
  <c r="Z16" i="4"/>
  <c r="AA16" i="4"/>
  <c r="Y17" i="4"/>
  <c r="Z17" i="4"/>
  <c r="AA17" i="4"/>
  <c r="Y18" i="4"/>
  <c r="Z18" i="4"/>
  <c r="AA18" i="4"/>
  <c r="Y19" i="4"/>
  <c r="Z19" i="4"/>
  <c r="AA19" i="4"/>
  <c r="Y20" i="4"/>
  <c r="Z20" i="4"/>
  <c r="AA20" i="4"/>
  <c r="Y21" i="4"/>
  <c r="Z21" i="4"/>
  <c r="AA21" i="4"/>
  <c r="Y22" i="4"/>
  <c r="Z22" i="4"/>
  <c r="AA22" i="4"/>
  <c r="Y23" i="4"/>
  <c r="Z23" i="4"/>
  <c r="AA23" i="4"/>
  <c r="Y24" i="4"/>
  <c r="Z24" i="4"/>
  <c r="AA24" i="4"/>
  <c r="Y25" i="4"/>
  <c r="Z25" i="4"/>
  <c r="AA25" i="4"/>
  <c r="Y26" i="4"/>
  <c r="Z26" i="4"/>
  <c r="AA26" i="4"/>
  <c r="Y27" i="4"/>
  <c r="Z27" i="4"/>
  <c r="AA27" i="4"/>
  <c r="Y28" i="4"/>
  <c r="Z28" i="4"/>
  <c r="AA28" i="4"/>
  <c r="Y29" i="4"/>
  <c r="Z29" i="4"/>
  <c r="AA29" i="4"/>
  <c r="Y30" i="4"/>
  <c r="Z30" i="4"/>
  <c r="AA30" i="4"/>
  <c r="Y31" i="4"/>
  <c r="Z31" i="4"/>
  <c r="AA31" i="4"/>
  <c r="Y32" i="4"/>
  <c r="Z32" i="4"/>
  <c r="AA32" i="4"/>
  <c r="Y33" i="4"/>
  <c r="Z33" i="4"/>
  <c r="AA33" i="4"/>
  <c r="Y34" i="4"/>
  <c r="Z34" i="4"/>
  <c r="AA34" i="4"/>
  <c r="Y35" i="4"/>
  <c r="Z35" i="4"/>
  <c r="AA35" i="4"/>
  <c r="Y36" i="4"/>
  <c r="Z36" i="4"/>
  <c r="AA36" i="4"/>
  <c r="Y37" i="4"/>
  <c r="Z37" i="4"/>
  <c r="AA37" i="4"/>
  <c r="Y38" i="4"/>
  <c r="Z38" i="4"/>
  <c r="AA38" i="4"/>
  <c r="Y39" i="4"/>
  <c r="Z39" i="4"/>
  <c r="AA39" i="4"/>
  <c r="Y40" i="4"/>
  <c r="Z40" i="4"/>
  <c r="AA40" i="4"/>
  <c r="Y41" i="4"/>
  <c r="Z41" i="4"/>
  <c r="AA41" i="4"/>
  <c r="Y42" i="4"/>
  <c r="Z42" i="4"/>
  <c r="AA42" i="4"/>
  <c r="Y43" i="4"/>
  <c r="Z43" i="4"/>
  <c r="AA43" i="4"/>
  <c r="Y44" i="4"/>
  <c r="Z44" i="4"/>
  <c r="AA44" i="4"/>
  <c r="Y45" i="4"/>
  <c r="Z45" i="4"/>
  <c r="AA45" i="4"/>
  <c r="Y46" i="4"/>
  <c r="Z46" i="4"/>
  <c r="AA46" i="4"/>
  <c r="Y47" i="4"/>
  <c r="Z47" i="4"/>
  <c r="AA47" i="4"/>
  <c r="Y48" i="4"/>
  <c r="Z48" i="4"/>
  <c r="AA48" i="4"/>
  <c r="Y49" i="4"/>
  <c r="Z49" i="4"/>
  <c r="AA49" i="4"/>
  <c r="Y50" i="4"/>
  <c r="Z50" i="4"/>
  <c r="AA50" i="4"/>
  <c r="Y51" i="4"/>
  <c r="Z51" i="4"/>
  <c r="AA51" i="4"/>
  <c r="Y52" i="4"/>
  <c r="Z52" i="4"/>
  <c r="AA52" i="4"/>
  <c r="Y53" i="4"/>
  <c r="Z53" i="4"/>
  <c r="AA53" i="4"/>
  <c r="Y54" i="4"/>
  <c r="Z54" i="4"/>
  <c r="AA54" i="4"/>
  <c r="AA9" i="4"/>
  <c r="Z9" i="4"/>
  <c r="Y9" i="4"/>
  <c r="W10" i="4"/>
  <c r="X10" i="4"/>
  <c r="W11" i="4"/>
  <c r="X11" i="4"/>
  <c r="W12" i="4"/>
  <c r="X12" i="4"/>
  <c r="W13" i="4"/>
  <c r="X13" i="4"/>
  <c r="W14" i="4"/>
  <c r="X14" i="4"/>
  <c r="W15" i="4"/>
  <c r="X15" i="4"/>
  <c r="W16" i="4"/>
  <c r="X16" i="4"/>
  <c r="W17" i="4"/>
  <c r="X17" i="4"/>
  <c r="W18" i="4"/>
  <c r="X18" i="4"/>
  <c r="W19" i="4"/>
  <c r="X19" i="4"/>
  <c r="W20" i="4"/>
  <c r="X20" i="4"/>
  <c r="W21" i="4"/>
  <c r="X21" i="4"/>
  <c r="W22" i="4"/>
  <c r="X22" i="4"/>
  <c r="W23" i="4"/>
  <c r="X23" i="4"/>
  <c r="W24" i="4"/>
  <c r="X24" i="4"/>
  <c r="W25" i="4"/>
  <c r="X25" i="4"/>
  <c r="W26" i="4"/>
  <c r="X26" i="4"/>
  <c r="W27" i="4"/>
  <c r="X27" i="4"/>
  <c r="W28" i="4"/>
  <c r="X28" i="4"/>
  <c r="W29" i="4"/>
  <c r="X29" i="4"/>
  <c r="W30" i="4"/>
  <c r="X30" i="4"/>
  <c r="W31" i="4"/>
  <c r="X31" i="4"/>
  <c r="W32" i="4"/>
  <c r="X32" i="4"/>
  <c r="W33" i="4"/>
  <c r="X33" i="4"/>
  <c r="W34" i="4"/>
  <c r="X34" i="4"/>
  <c r="W35" i="4"/>
  <c r="X35" i="4"/>
  <c r="W36" i="4"/>
  <c r="X36" i="4"/>
  <c r="W37" i="4"/>
  <c r="X37" i="4"/>
  <c r="W38" i="4"/>
  <c r="X38" i="4"/>
  <c r="W39" i="4"/>
  <c r="X39" i="4"/>
  <c r="W40" i="4"/>
  <c r="X40" i="4"/>
  <c r="W41" i="4"/>
  <c r="X41" i="4"/>
  <c r="W42" i="4"/>
  <c r="X42" i="4"/>
  <c r="W43" i="4"/>
  <c r="X43" i="4"/>
  <c r="W44" i="4"/>
  <c r="X44" i="4"/>
  <c r="W45" i="4"/>
  <c r="X45" i="4"/>
  <c r="W46" i="4"/>
  <c r="X46" i="4"/>
  <c r="W47" i="4"/>
  <c r="X47" i="4"/>
  <c r="W48" i="4"/>
  <c r="X48" i="4"/>
  <c r="W49" i="4"/>
  <c r="X49" i="4"/>
  <c r="W50" i="4"/>
  <c r="X50" i="4"/>
  <c r="W51" i="4"/>
  <c r="X51" i="4"/>
  <c r="W52" i="4"/>
  <c r="X52" i="4"/>
  <c r="W53" i="4"/>
  <c r="X53" i="4"/>
  <c r="W54" i="4"/>
  <c r="X54" i="4"/>
  <c r="X9" i="4"/>
  <c r="W9" i="4"/>
  <c r="C18" i="1" l="1"/>
  <c r="B9" i="8" l="1"/>
  <c r="B10" i="8" s="1"/>
  <c r="B12" i="8" s="1"/>
  <c r="B16" i="8" s="1"/>
  <c r="G8" i="8"/>
  <c r="G9" i="8" s="1"/>
  <c r="G10" i="8" s="1"/>
  <c r="G12" i="8" s="1"/>
  <c r="G16" i="8" s="1"/>
  <c r="G21" i="8" s="1"/>
  <c r="B19" i="8"/>
  <c r="G19" i="8"/>
  <c r="B27" i="8"/>
  <c r="G27" i="8"/>
  <c r="B30" i="8"/>
  <c r="G30" i="8"/>
  <c r="B32" i="8"/>
  <c r="G32" i="8"/>
  <c r="B17" i="8" l="1"/>
  <c r="B21" i="8"/>
  <c r="B23" i="8" s="1"/>
  <c r="P21" i="7"/>
  <c r="P22" i="7" s="1"/>
  <c r="C55" i="11" l="1"/>
  <c r="N30" i="11" l="1"/>
  <c r="O30" i="11"/>
  <c r="U30" i="11"/>
  <c r="M30" i="11"/>
  <c r="G2" i="1"/>
  <c r="P30" i="11" l="1"/>
  <c r="Q30" i="11"/>
  <c r="V31" i="4"/>
  <c r="AC31" i="4" s="1"/>
  <c r="AH31" i="4" s="1"/>
  <c r="H55" i="11"/>
  <c r="U53" i="11"/>
  <c r="O53" i="11"/>
  <c r="N53" i="11"/>
  <c r="M53" i="11"/>
  <c r="U52" i="11"/>
  <c r="O52" i="11"/>
  <c r="N52" i="11"/>
  <c r="M52" i="11"/>
  <c r="P52" i="11" s="1"/>
  <c r="U51" i="11"/>
  <c r="O51" i="11"/>
  <c r="N51" i="11"/>
  <c r="M51" i="11"/>
  <c r="U50" i="11"/>
  <c r="O50" i="11"/>
  <c r="N50" i="11"/>
  <c r="M50" i="11"/>
  <c r="U49" i="11"/>
  <c r="O49" i="11"/>
  <c r="N49" i="11"/>
  <c r="M49" i="11"/>
  <c r="U48" i="11"/>
  <c r="O48" i="11"/>
  <c r="N48" i="11"/>
  <c r="M48" i="11"/>
  <c r="U47" i="11"/>
  <c r="O47" i="11"/>
  <c r="N47" i="11"/>
  <c r="M47" i="11"/>
  <c r="U46" i="11"/>
  <c r="O46" i="11"/>
  <c r="N46" i="11"/>
  <c r="M46" i="11"/>
  <c r="U45" i="11"/>
  <c r="O45" i="11"/>
  <c r="N45" i="11"/>
  <c r="M45" i="11"/>
  <c r="U44" i="11"/>
  <c r="O44" i="11"/>
  <c r="N44" i="11"/>
  <c r="M44" i="11"/>
  <c r="U43" i="11"/>
  <c r="O43" i="11"/>
  <c r="N43" i="11"/>
  <c r="M43" i="11"/>
  <c r="U42" i="11"/>
  <c r="O42" i="11"/>
  <c r="N42" i="11"/>
  <c r="M42" i="11"/>
  <c r="U41" i="11"/>
  <c r="O41" i="11"/>
  <c r="N41" i="11"/>
  <c r="M41" i="11"/>
  <c r="U40" i="11"/>
  <c r="O40" i="11"/>
  <c r="N40" i="11"/>
  <c r="M40" i="11"/>
  <c r="U39" i="11"/>
  <c r="O39" i="11"/>
  <c r="N39" i="11"/>
  <c r="M39" i="11"/>
  <c r="U38" i="11"/>
  <c r="O38" i="11"/>
  <c r="N38" i="11"/>
  <c r="M38" i="11"/>
  <c r="U37" i="11"/>
  <c r="O37" i="11"/>
  <c r="N37" i="11"/>
  <c r="M37" i="11"/>
  <c r="Q37" i="11" s="1"/>
  <c r="U36" i="11"/>
  <c r="O36" i="11"/>
  <c r="N36" i="11"/>
  <c r="M36" i="11"/>
  <c r="U35" i="11"/>
  <c r="O35" i="11"/>
  <c r="N35" i="11"/>
  <c r="M35" i="11"/>
  <c r="U34" i="11"/>
  <c r="O34" i="11"/>
  <c r="N34" i="11"/>
  <c r="M34" i="11"/>
  <c r="U33" i="11"/>
  <c r="O33" i="11"/>
  <c r="N33" i="11"/>
  <c r="M33" i="11"/>
  <c r="U32" i="11"/>
  <c r="O32" i="11"/>
  <c r="N32" i="11"/>
  <c r="M32" i="11"/>
  <c r="U31" i="11"/>
  <c r="O31" i="11"/>
  <c r="N31" i="11"/>
  <c r="M31" i="11"/>
  <c r="U29" i="11"/>
  <c r="O29" i="11"/>
  <c r="N29" i="11"/>
  <c r="M29" i="11"/>
  <c r="U28" i="11"/>
  <c r="O28" i="11"/>
  <c r="N28" i="11"/>
  <c r="M28" i="11"/>
  <c r="U27" i="11"/>
  <c r="O27" i="11"/>
  <c r="N27" i="11"/>
  <c r="M27" i="11"/>
  <c r="U26" i="11"/>
  <c r="O26" i="11"/>
  <c r="N26" i="11"/>
  <c r="M26" i="11"/>
  <c r="U25" i="11"/>
  <c r="O25" i="11"/>
  <c r="N25" i="11"/>
  <c r="M25" i="11"/>
  <c r="U24" i="11"/>
  <c r="O24" i="11"/>
  <c r="N24" i="11"/>
  <c r="M24" i="11"/>
  <c r="U23" i="11"/>
  <c r="T23" i="11"/>
  <c r="O23" i="11"/>
  <c r="N23" i="11"/>
  <c r="M23" i="11"/>
  <c r="U22" i="11"/>
  <c r="O22" i="11"/>
  <c r="N22" i="11"/>
  <c r="M22" i="11"/>
  <c r="U21" i="11"/>
  <c r="P21" i="11"/>
  <c r="O21" i="11"/>
  <c r="N21" i="11"/>
  <c r="M21" i="11"/>
  <c r="U20" i="11"/>
  <c r="O20" i="11"/>
  <c r="N20" i="11"/>
  <c r="M20" i="11"/>
  <c r="U19" i="11"/>
  <c r="O19" i="11"/>
  <c r="N19" i="11"/>
  <c r="M19" i="11"/>
  <c r="P19" i="11" s="1"/>
  <c r="U18" i="11"/>
  <c r="O18" i="11"/>
  <c r="N18" i="11"/>
  <c r="M18" i="11"/>
  <c r="C18" i="11"/>
  <c r="T42" i="11" s="1"/>
  <c r="U17" i="11"/>
  <c r="O17" i="11"/>
  <c r="N17" i="11"/>
  <c r="M17" i="11"/>
  <c r="P17" i="11" s="1"/>
  <c r="U16" i="11"/>
  <c r="O16" i="11"/>
  <c r="N16" i="11"/>
  <c r="M16" i="11"/>
  <c r="U15" i="11"/>
  <c r="O15" i="11"/>
  <c r="N15" i="11"/>
  <c r="M15" i="11"/>
  <c r="U14" i="11"/>
  <c r="T14" i="11"/>
  <c r="O14" i="11"/>
  <c r="N14" i="11"/>
  <c r="M14" i="11"/>
  <c r="U13" i="11"/>
  <c r="O13" i="11"/>
  <c r="N13" i="11"/>
  <c r="M13" i="11"/>
  <c r="P13" i="11" s="1"/>
  <c r="R13" i="11" s="1"/>
  <c r="U12" i="11"/>
  <c r="O12" i="11"/>
  <c r="N12" i="11"/>
  <c r="M12" i="11"/>
  <c r="U11" i="11"/>
  <c r="T11" i="11"/>
  <c r="O11" i="11"/>
  <c r="N11" i="11"/>
  <c r="M11" i="11"/>
  <c r="U10" i="11"/>
  <c r="O10" i="11"/>
  <c r="N10" i="11"/>
  <c r="M10" i="11"/>
  <c r="U9" i="11"/>
  <c r="O9" i="11"/>
  <c r="N9" i="11"/>
  <c r="M9" i="11"/>
  <c r="P9" i="11" s="1"/>
  <c r="U8" i="11"/>
  <c r="O8" i="11"/>
  <c r="N8" i="11"/>
  <c r="M8" i="11"/>
  <c r="C3" i="11"/>
  <c r="C8" i="11" s="1"/>
  <c r="X30" i="11" s="1"/>
  <c r="C2" i="11"/>
  <c r="C7" i="11" s="1"/>
  <c r="P29" i="11" l="1"/>
  <c r="T13" i="11"/>
  <c r="T36" i="11"/>
  <c r="AB31" i="4"/>
  <c r="AG31" i="4" s="1"/>
  <c r="T8" i="11"/>
  <c r="T10" i="11"/>
  <c r="T15" i="11"/>
  <c r="Q28" i="11"/>
  <c r="T16" i="11"/>
  <c r="T12" i="11"/>
  <c r="T28" i="11"/>
  <c r="P53" i="11"/>
  <c r="T9" i="11"/>
  <c r="P33" i="11"/>
  <c r="R33" i="11" s="1"/>
  <c r="AD31" i="4"/>
  <c r="AE31" i="4"/>
  <c r="AF31" i="4"/>
  <c r="AK31" i="4" s="1"/>
  <c r="T21" i="11"/>
  <c r="P27" i="11"/>
  <c r="P45" i="11"/>
  <c r="T20" i="11"/>
  <c r="T25" i="11"/>
  <c r="Q34" i="11"/>
  <c r="S34" i="11" s="1"/>
  <c r="V34" i="11" s="1"/>
  <c r="T37" i="11"/>
  <c r="P8" i="11"/>
  <c r="Q16" i="11"/>
  <c r="T17" i="11"/>
  <c r="T29" i="11"/>
  <c r="P38" i="11"/>
  <c r="P40" i="11"/>
  <c r="P42" i="11"/>
  <c r="P44" i="11"/>
  <c r="R44" i="11" s="1"/>
  <c r="P46" i="11"/>
  <c r="Q48" i="11"/>
  <c r="Q50" i="11"/>
  <c r="S30" i="11"/>
  <c r="V30" i="11" s="1"/>
  <c r="P12" i="11"/>
  <c r="P25" i="11"/>
  <c r="S28" i="11"/>
  <c r="V28" i="11" s="1"/>
  <c r="T32" i="11"/>
  <c r="P49" i="11"/>
  <c r="T52" i="11"/>
  <c r="T27" i="11"/>
  <c r="S37" i="11"/>
  <c r="V37" i="11" s="1"/>
  <c r="T40" i="11"/>
  <c r="Q24" i="11"/>
  <c r="S24" i="11" s="1"/>
  <c r="V24" i="11" s="1"/>
  <c r="Q32" i="11"/>
  <c r="S32" i="11" s="1"/>
  <c r="V32" i="11" s="1"/>
  <c r="T33" i="11"/>
  <c r="T44" i="11"/>
  <c r="T24" i="11"/>
  <c r="Q29" i="11"/>
  <c r="S29" i="11" s="1"/>
  <c r="V29" i="11" s="1"/>
  <c r="Q41" i="11"/>
  <c r="S41" i="11" s="1"/>
  <c r="V41" i="11" s="1"/>
  <c r="T46" i="11"/>
  <c r="X19" i="11"/>
  <c r="X16" i="11"/>
  <c r="X12" i="11"/>
  <c r="X50" i="11"/>
  <c r="X34" i="11"/>
  <c r="R8" i="11"/>
  <c r="R40" i="11"/>
  <c r="R12" i="11"/>
  <c r="W44" i="11"/>
  <c r="W30" i="11"/>
  <c r="R27" i="11"/>
  <c r="Q17" i="11"/>
  <c r="S17" i="11" s="1"/>
  <c r="V17" i="11" s="1"/>
  <c r="X25" i="11"/>
  <c r="R45" i="11"/>
  <c r="Q13" i="11"/>
  <c r="S13" i="11" s="1"/>
  <c r="V13" i="11" s="1"/>
  <c r="X21" i="11"/>
  <c r="Q42" i="11"/>
  <c r="S42" i="11" s="1"/>
  <c r="V42" i="11" s="1"/>
  <c r="S50" i="11"/>
  <c r="V50" i="11" s="1"/>
  <c r="R9" i="11"/>
  <c r="P11" i="11"/>
  <c r="R11" i="11" s="1"/>
  <c r="X27" i="11"/>
  <c r="P34" i="11"/>
  <c r="R34" i="11" s="1"/>
  <c r="Q45" i="11"/>
  <c r="S45" i="11" s="1"/>
  <c r="V45" i="11" s="1"/>
  <c r="X46" i="11"/>
  <c r="P48" i="11"/>
  <c r="R48" i="11" s="1"/>
  <c r="R53" i="11"/>
  <c r="R52" i="11"/>
  <c r="R30" i="11"/>
  <c r="Q10" i="11"/>
  <c r="S10" i="11" s="1"/>
  <c r="V10" i="11" s="1"/>
  <c r="X11" i="11"/>
  <c r="X15" i="11"/>
  <c r="Q46" i="11"/>
  <c r="S46" i="11" s="1"/>
  <c r="S16" i="11"/>
  <c r="V16" i="11" s="1"/>
  <c r="X29" i="11"/>
  <c r="X36" i="11"/>
  <c r="X52" i="11"/>
  <c r="T53" i="11"/>
  <c r="T30" i="11"/>
  <c r="T19" i="11"/>
  <c r="X23" i="11"/>
  <c r="P28" i="11"/>
  <c r="R28" i="11" s="1"/>
  <c r="P36" i="11"/>
  <c r="R36" i="11" s="1"/>
  <c r="T38" i="11"/>
  <c r="T41" i="11"/>
  <c r="T45" i="11"/>
  <c r="T48" i="11"/>
  <c r="Q52" i="11"/>
  <c r="S52" i="11" s="1"/>
  <c r="V52" i="11" s="1"/>
  <c r="R49" i="11"/>
  <c r="R10" i="11"/>
  <c r="R17" i="11"/>
  <c r="R21" i="11"/>
  <c r="X44" i="11"/>
  <c r="Q49" i="11"/>
  <c r="S49" i="11" s="1"/>
  <c r="V49" i="11" s="1"/>
  <c r="R19" i="11"/>
  <c r="Q25" i="11"/>
  <c r="S25" i="11" s="1"/>
  <c r="V25" i="11" s="1"/>
  <c r="Q33" i="11"/>
  <c r="S33" i="11" s="1"/>
  <c r="V33" i="11" s="1"/>
  <c r="T34" i="11"/>
  <c r="X42" i="11"/>
  <c r="T50" i="11"/>
  <c r="Q14" i="11"/>
  <c r="S14" i="11" s="1"/>
  <c r="Q21" i="11"/>
  <c r="S21" i="11" s="1"/>
  <c r="V21" i="11" s="1"/>
  <c r="Q38" i="11"/>
  <c r="S38" i="11" s="1"/>
  <c r="V38" i="11" s="1"/>
  <c r="P16" i="11"/>
  <c r="R16" i="11" s="1"/>
  <c r="P50" i="11"/>
  <c r="R50" i="11" s="1"/>
  <c r="Q11" i="11"/>
  <c r="S11" i="11" s="1"/>
  <c r="V11" i="11" s="1"/>
  <c r="P32" i="11"/>
  <c r="R32" i="11" s="1"/>
  <c r="Q53" i="11"/>
  <c r="S53" i="11" s="1"/>
  <c r="V53" i="11" s="1"/>
  <c r="Q20" i="11"/>
  <c r="S20" i="11" s="1"/>
  <c r="V20" i="11" s="1"/>
  <c r="V46" i="11"/>
  <c r="P14" i="11"/>
  <c r="R14" i="11" s="1"/>
  <c r="Q36" i="11"/>
  <c r="S36" i="11" s="1"/>
  <c r="V36" i="11" s="1"/>
  <c r="Q15" i="11"/>
  <c r="S15" i="11" s="1"/>
  <c r="V15" i="11" s="1"/>
  <c r="W36" i="11"/>
  <c r="W10" i="11"/>
  <c r="P31" i="11"/>
  <c r="R31" i="11" s="1"/>
  <c r="Q31" i="11"/>
  <c r="S31" i="11" s="1"/>
  <c r="V31" i="11" s="1"/>
  <c r="P47" i="11"/>
  <c r="R47" i="11" s="1"/>
  <c r="Q47" i="11"/>
  <c r="S47" i="11" s="1"/>
  <c r="V47" i="11" s="1"/>
  <c r="R15" i="11"/>
  <c r="X51" i="11"/>
  <c r="X47" i="11"/>
  <c r="X43" i="11"/>
  <c r="X39" i="11"/>
  <c r="X35" i="11"/>
  <c r="X31" i="11"/>
  <c r="X22" i="11"/>
  <c r="X18" i="11"/>
  <c r="X53" i="11"/>
  <c r="X49" i="11"/>
  <c r="X45" i="11"/>
  <c r="X41" i="11"/>
  <c r="X37" i="11"/>
  <c r="X33" i="11"/>
  <c r="X28" i="11"/>
  <c r="X24" i="11"/>
  <c r="X20" i="11"/>
  <c r="X17" i="11"/>
  <c r="X13" i="11"/>
  <c r="X9" i="11"/>
  <c r="X26" i="11"/>
  <c r="X14" i="11"/>
  <c r="X10" i="11"/>
  <c r="Q9" i="11"/>
  <c r="S9" i="11" s="1"/>
  <c r="Q12" i="11"/>
  <c r="S12" i="11" s="1"/>
  <c r="V12" i="11" s="1"/>
  <c r="W12" i="11"/>
  <c r="P22" i="11"/>
  <c r="R22" i="11" s="1"/>
  <c r="Q22" i="11"/>
  <c r="S22" i="11" s="1"/>
  <c r="V22" i="11" s="1"/>
  <c r="Q23" i="11"/>
  <c r="S23" i="11" s="1"/>
  <c r="V23" i="11" s="1"/>
  <c r="P24" i="11"/>
  <c r="R24" i="11" s="1"/>
  <c r="W27" i="11"/>
  <c r="X38" i="11"/>
  <c r="Q40" i="11"/>
  <c r="S40" i="11" s="1"/>
  <c r="V40" i="11" s="1"/>
  <c r="P41" i="11"/>
  <c r="R41" i="11" s="1"/>
  <c r="W9" i="11"/>
  <c r="W51" i="11"/>
  <c r="W47" i="11"/>
  <c r="W43" i="11"/>
  <c r="W39" i="11"/>
  <c r="W35" i="11"/>
  <c r="W31" i="11"/>
  <c r="W26" i="11"/>
  <c r="W22" i="11"/>
  <c r="W18" i="11"/>
  <c r="W15" i="11"/>
  <c r="W11" i="11"/>
  <c r="W53" i="11"/>
  <c r="W49" i="11"/>
  <c r="W45" i="11"/>
  <c r="W41" i="11"/>
  <c r="W37" i="11"/>
  <c r="W33" i="11"/>
  <c r="W28" i="11"/>
  <c r="W24" i="11"/>
  <c r="W50" i="11"/>
  <c r="W46" i="11"/>
  <c r="W42" i="11"/>
  <c r="W38" i="11"/>
  <c r="W34" i="11"/>
  <c r="W29" i="11"/>
  <c r="W25" i="11"/>
  <c r="W21" i="11"/>
  <c r="W17" i="11"/>
  <c r="W13" i="11"/>
  <c r="W19" i="11"/>
  <c r="P39" i="11"/>
  <c r="R39" i="11" s="1"/>
  <c r="Q39" i="11"/>
  <c r="S39" i="11" s="1"/>
  <c r="V39" i="11" s="1"/>
  <c r="Q8" i="11"/>
  <c r="S8" i="11" s="1"/>
  <c r="V8" i="11" s="1"/>
  <c r="W8" i="11"/>
  <c r="Q27" i="11"/>
  <c r="S27" i="11" s="1"/>
  <c r="V27" i="11" s="1"/>
  <c r="W32" i="11"/>
  <c r="Q44" i="11"/>
  <c r="S44" i="11" s="1"/>
  <c r="W48" i="11"/>
  <c r="X8" i="11"/>
  <c r="W14" i="11"/>
  <c r="P18" i="11"/>
  <c r="R18" i="11" s="1"/>
  <c r="Q18" i="11"/>
  <c r="S18" i="11" s="1"/>
  <c r="V18" i="11" s="1"/>
  <c r="Q19" i="11"/>
  <c r="S19" i="11" s="1"/>
  <c r="V19" i="11" s="1"/>
  <c r="P20" i="11"/>
  <c r="R20" i="11" s="1"/>
  <c r="W20" i="11"/>
  <c r="P23" i="11"/>
  <c r="R23" i="11" s="1"/>
  <c r="P26" i="11"/>
  <c r="R26" i="11" s="1"/>
  <c r="Q26" i="11"/>
  <c r="S26" i="11" s="1"/>
  <c r="V26" i="11" s="1"/>
  <c r="X32" i="11"/>
  <c r="P43" i="11"/>
  <c r="R43" i="11" s="1"/>
  <c r="Q43" i="11"/>
  <c r="S43" i="11" s="1"/>
  <c r="V43" i="11" s="1"/>
  <c r="X48" i="11"/>
  <c r="W52" i="11"/>
  <c r="W16" i="11"/>
  <c r="W23" i="11"/>
  <c r="P37" i="11"/>
  <c r="R37" i="11" s="1"/>
  <c r="W40" i="11"/>
  <c r="P51" i="11"/>
  <c r="R51" i="11" s="1"/>
  <c r="Q51" i="11"/>
  <c r="S51" i="11" s="1"/>
  <c r="V51" i="11" s="1"/>
  <c r="P35" i="11"/>
  <c r="R35" i="11" s="1"/>
  <c r="Q35" i="11"/>
  <c r="S35" i="11" s="1"/>
  <c r="V35" i="11" s="1"/>
  <c r="X40" i="11"/>
  <c r="S48" i="11"/>
  <c r="V48" i="11" s="1"/>
  <c r="T18" i="11"/>
  <c r="T22" i="11"/>
  <c r="R25" i="11"/>
  <c r="T26" i="11"/>
  <c r="R29" i="11"/>
  <c r="T31" i="11"/>
  <c r="T35" i="11"/>
  <c r="R38" i="11"/>
  <c r="T39" i="11"/>
  <c r="R42" i="11"/>
  <c r="T43" i="11"/>
  <c r="R46" i="11"/>
  <c r="T47" i="11"/>
  <c r="T51" i="11"/>
  <c r="T49" i="11"/>
  <c r="Z13" i="11" l="1"/>
  <c r="Z21" i="11"/>
  <c r="Y28" i="11"/>
  <c r="Z16" i="11"/>
  <c r="Z17" i="11"/>
  <c r="Y10" i="11"/>
  <c r="Y32" i="11"/>
  <c r="Y33" i="11"/>
  <c r="Z45" i="11"/>
  <c r="Z30" i="11"/>
  <c r="Y21" i="11"/>
  <c r="Y17" i="11"/>
  <c r="Z28" i="11"/>
  <c r="Y11" i="11"/>
  <c r="Z10" i="11"/>
  <c r="Y30" i="11"/>
  <c r="Z36" i="11"/>
  <c r="Y49" i="11"/>
  <c r="Z11" i="11"/>
  <c r="Y45" i="11"/>
  <c r="Z33" i="11"/>
  <c r="Y13" i="11"/>
  <c r="Z14" i="11"/>
  <c r="Z49" i="11"/>
  <c r="Z32" i="11"/>
  <c r="Y53" i="11"/>
  <c r="Z40" i="11"/>
  <c r="Y16" i="11"/>
  <c r="V14" i="11"/>
  <c r="Y14" i="11" s="1"/>
  <c r="Z53" i="11"/>
  <c r="V44" i="11"/>
  <c r="Y44" i="11" s="1"/>
  <c r="Z44" i="11"/>
  <c r="Z19" i="11"/>
  <c r="Z27" i="11"/>
  <c r="Y36" i="11"/>
  <c r="Y19" i="11"/>
  <c r="Y27" i="11"/>
  <c r="Z38" i="11"/>
  <c r="Y38" i="11"/>
  <c r="Z34" i="11"/>
  <c r="Y34" i="11"/>
  <c r="Z37" i="11"/>
  <c r="Y37" i="11"/>
  <c r="Y26" i="11"/>
  <c r="Z26" i="11"/>
  <c r="Z15" i="11"/>
  <c r="Y15" i="11"/>
  <c r="Z46" i="11"/>
  <c r="Y46" i="11"/>
  <c r="Y48" i="11"/>
  <c r="Z8" i="11"/>
  <c r="Y43" i="11"/>
  <c r="Z43" i="11"/>
  <c r="Y22" i="11"/>
  <c r="Z22" i="11"/>
  <c r="Y47" i="11"/>
  <c r="Z47" i="11"/>
  <c r="Y8" i="11"/>
  <c r="Z50" i="11"/>
  <c r="Y50" i="11"/>
  <c r="Y39" i="11"/>
  <c r="Z39" i="11"/>
  <c r="Z24" i="11"/>
  <c r="Y24" i="11"/>
  <c r="Y23" i="11"/>
  <c r="Z23" i="11"/>
  <c r="Z29" i="11"/>
  <c r="Y29" i="11"/>
  <c r="Z48" i="11"/>
  <c r="Y52" i="11"/>
  <c r="Y20" i="11"/>
  <c r="Z20" i="11"/>
  <c r="Z42" i="11"/>
  <c r="Y42" i="11"/>
  <c r="Z25" i="11"/>
  <c r="Y25" i="11"/>
  <c r="Z52" i="11"/>
  <c r="Y40" i="11"/>
  <c r="Z41" i="11"/>
  <c r="Y41" i="11"/>
  <c r="Y18" i="11"/>
  <c r="Z18" i="11"/>
  <c r="Y35" i="11"/>
  <c r="Z35" i="11"/>
  <c r="Y51" i="11"/>
  <c r="Z51" i="11"/>
  <c r="V9" i="11"/>
  <c r="Y9" i="11" s="1"/>
  <c r="Z12" i="11"/>
  <c r="Y12" i="11"/>
  <c r="Y31" i="11"/>
  <c r="Z31" i="11"/>
  <c r="Z9" i="11"/>
  <c r="C9" i="4" l="1"/>
  <c r="AT31" i="4" l="1"/>
  <c r="AT10" i="4"/>
  <c r="AI31" i="4" l="1"/>
  <c r="AJ31" i="4"/>
  <c r="AQ31" i="4" l="1"/>
  <c r="AN14" i="4"/>
  <c r="AR14" i="4" s="1"/>
  <c r="AN22" i="4"/>
  <c r="AR22" i="4" s="1"/>
  <c r="AN30" i="4"/>
  <c r="AR30" i="4" s="1"/>
  <c r="AN38" i="4"/>
  <c r="AR38" i="4" s="1"/>
  <c r="AN46" i="4"/>
  <c r="AR46" i="4" s="1"/>
  <c r="AN54" i="4"/>
  <c r="AR54" i="4" s="1"/>
  <c r="AN12" i="4"/>
  <c r="AR12" i="4" s="1"/>
  <c r="AN36" i="4"/>
  <c r="AR36" i="4" s="1"/>
  <c r="AN17" i="4"/>
  <c r="AR17" i="4" s="1"/>
  <c r="AN25" i="4"/>
  <c r="AR25" i="4" s="1"/>
  <c r="AN33" i="4"/>
  <c r="AR33" i="4" s="1"/>
  <c r="AN41" i="4"/>
  <c r="AR41" i="4" s="1"/>
  <c r="AN49" i="4"/>
  <c r="AR49" i="4" s="1"/>
  <c r="AN20" i="4"/>
  <c r="AR20" i="4" s="1"/>
  <c r="AN52" i="4"/>
  <c r="AR52" i="4" s="1"/>
  <c r="AN15" i="4"/>
  <c r="AR15" i="4" s="1"/>
  <c r="AN23" i="4"/>
  <c r="AR23" i="4" s="1"/>
  <c r="AN31" i="4"/>
  <c r="AR31" i="4" s="1"/>
  <c r="AN39" i="4"/>
  <c r="AR39" i="4" s="1"/>
  <c r="AN47" i="4"/>
  <c r="AR47" i="4" s="1"/>
  <c r="AN10" i="4"/>
  <c r="AR10" i="4" s="1"/>
  <c r="AN18" i="4"/>
  <c r="AR18" i="4" s="1"/>
  <c r="AN26" i="4"/>
  <c r="AR26" i="4" s="1"/>
  <c r="AN34" i="4"/>
  <c r="AR34" i="4" s="1"/>
  <c r="AN42" i="4"/>
  <c r="AR42" i="4" s="1"/>
  <c r="AN50" i="4"/>
  <c r="AR50" i="4" s="1"/>
  <c r="AN13" i="4"/>
  <c r="AR13" i="4" s="1"/>
  <c r="AN21" i="4"/>
  <c r="AR21" i="4" s="1"/>
  <c r="AN29" i="4"/>
  <c r="AR29" i="4" s="1"/>
  <c r="AN37" i="4"/>
  <c r="AR37" i="4" s="1"/>
  <c r="AN45" i="4"/>
  <c r="AR45" i="4" s="1"/>
  <c r="AN53" i="4"/>
  <c r="AR53" i="4" s="1"/>
  <c r="AN9" i="4"/>
  <c r="AR9" i="4" s="1"/>
  <c r="AN28" i="4"/>
  <c r="AR28" i="4" s="1"/>
  <c r="AN16" i="4"/>
  <c r="AR16" i="4" s="1"/>
  <c r="AN24" i="4"/>
  <c r="AR24" i="4" s="1"/>
  <c r="AN32" i="4"/>
  <c r="AR32" i="4" s="1"/>
  <c r="AN40" i="4"/>
  <c r="AR40" i="4" s="1"/>
  <c r="AN48" i="4"/>
  <c r="AR48" i="4" s="1"/>
  <c r="AN11" i="4"/>
  <c r="AR11" i="4" s="1"/>
  <c r="AN19" i="4"/>
  <c r="AR19" i="4" s="1"/>
  <c r="AN27" i="4"/>
  <c r="AR27" i="4" s="1"/>
  <c r="AN35" i="4"/>
  <c r="AR35" i="4" s="1"/>
  <c r="AN43" i="4"/>
  <c r="AR43" i="4" s="1"/>
  <c r="AN51" i="4"/>
  <c r="AR51" i="4" s="1"/>
  <c r="AN44" i="4"/>
  <c r="AR44" i="4" s="1"/>
  <c r="C17" i="1"/>
  <c r="C16" i="1"/>
  <c r="AV31" i="4" l="1"/>
  <c r="B40" i="7"/>
  <c r="C12" i="1" l="1"/>
  <c r="AS10" i="4" l="1"/>
  <c r="V51" i="4"/>
  <c r="AC51" i="4"/>
  <c r="AH51" i="4" s="1"/>
  <c r="V52" i="4"/>
  <c r="AC52" i="4" s="1"/>
  <c r="AH52" i="4" s="1"/>
  <c r="V53" i="4"/>
  <c r="V54" i="4"/>
  <c r="AE53" i="4" l="1"/>
  <c r="AJ53" i="4" s="1"/>
  <c r="AF53" i="4"/>
  <c r="AK53" i="4" s="1"/>
  <c r="AD53" i="4"/>
  <c r="AI53" i="4" s="1"/>
  <c r="AD54" i="4"/>
  <c r="AI54" i="4" s="1"/>
  <c r="AE54" i="4"/>
  <c r="AJ54" i="4" s="1"/>
  <c r="AF54" i="4"/>
  <c r="AK54" i="4" s="1"/>
  <c r="AE52" i="4"/>
  <c r="AJ52" i="4" s="1"/>
  <c r="AF52" i="4"/>
  <c r="AK52" i="4" s="1"/>
  <c r="AD52" i="4"/>
  <c r="AI52" i="4" s="1"/>
  <c r="AD51" i="4"/>
  <c r="AI51" i="4" s="1"/>
  <c r="AE51" i="4"/>
  <c r="AJ51" i="4" s="1"/>
  <c r="AF51" i="4"/>
  <c r="AK51" i="4" s="1"/>
  <c r="AS31" i="4"/>
  <c r="AB53" i="4"/>
  <c r="AG53" i="4" s="1"/>
  <c r="AQ53" i="4" s="1"/>
  <c r="AB54" i="4"/>
  <c r="AG54" i="4" s="1"/>
  <c r="AB51" i="4"/>
  <c r="AG51" i="4" s="1"/>
  <c r="AC54" i="4"/>
  <c r="AH54" i="4" s="1"/>
  <c r="AB52" i="4"/>
  <c r="AG52" i="4" s="1"/>
  <c r="AC53" i="4"/>
  <c r="AH53" i="4" s="1"/>
  <c r="V50" i="4"/>
  <c r="AB50" i="4" s="1"/>
  <c r="AG50" i="4" s="1"/>
  <c r="V46" i="4"/>
  <c r="V47" i="4"/>
  <c r="V48" i="4"/>
  <c r="V49" i="4"/>
  <c r="V37" i="4"/>
  <c r="V38" i="4"/>
  <c r="V39" i="4"/>
  <c r="V40" i="4"/>
  <c r="AB40" i="4" s="1"/>
  <c r="AG40" i="4" s="1"/>
  <c r="AC40" i="4"/>
  <c r="AH40" i="4" s="1"/>
  <c r="V41" i="4"/>
  <c r="AB41" i="4"/>
  <c r="AG41" i="4" s="1"/>
  <c r="V42" i="4"/>
  <c r="V43" i="4"/>
  <c r="V44" i="4"/>
  <c r="V45" i="4"/>
  <c r="AQ51" i="4" l="1"/>
  <c r="AD47" i="4"/>
  <c r="AI47" i="4" s="1"/>
  <c r="AE47" i="4"/>
  <c r="AJ47" i="4" s="1"/>
  <c r="AF47" i="4"/>
  <c r="AK47" i="4" s="1"/>
  <c r="AQ54" i="4"/>
  <c r="AD46" i="4"/>
  <c r="AI46" i="4" s="1"/>
  <c r="AE46" i="4"/>
  <c r="AJ46" i="4" s="1"/>
  <c r="AF46" i="4"/>
  <c r="AK46" i="4" s="1"/>
  <c r="AE44" i="4"/>
  <c r="AJ44" i="4" s="1"/>
  <c r="AF44" i="4"/>
  <c r="AK44" i="4" s="1"/>
  <c r="AD44" i="4"/>
  <c r="AI44" i="4" s="1"/>
  <c r="AD39" i="4"/>
  <c r="AI39" i="4" s="1"/>
  <c r="AF39" i="4"/>
  <c r="AK39" i="4" s="1"/>
  <c r="AE39" i="4"/>
  <c r="AJ39" i="4" s="1"/>
  <c r="AD43" i="4"/>
  <c r="AI43" i="4" s="1"/>
  <c r="AE43" i="4"/>
  <c r="AJ43" i="4" s="1"/>
  <c r="AF43" i="4"/>
  <c r="AK43" i="4" s="1"/>
  <c r="AE45" i="4"/>
  <c r="AJ45" i="4" s="1"/>
  <c r="AD45" i="4"/>
  <c r="AI45" i="4" s="1"/>
  <c r="AF45" i="4"/>
  <c r="AK45" i="4" s="1"/>
  <c r="AD50" i="4"/>
  <c r="AI50" i="4" s="1"/>
  <c r="AF50" i="4"/>
  <c r="AK50" i="4" s="1"/>
  <c r="AE50" i="4"/>
  <c r="AJ50" i="4" s="1"/>
  <c r="AD42" i="4"/>
  <c r="AI42" i="4" s="1"/>
  <c r="AF42" i="4"/>
  <c r="AK42" i="4" s="1"/>
  <c r="AE42" i="4"/>
  <c r="AJ42" i="4" s="1"/>
  <c r="AD40" i="4"/>
  <c r="AI40" i="4" s="1"/>
  <c r="AE40" i="4"/>
  <c r="AJ40" i="4" s="1"/>
  <c r="AF40" i="4"/>
  <c r="AK40" i="4" s="1"/>
  <c r="AQ52" i="4"/>
  <c r="AD48" i="4"/>
  <c r="AI48" i="4" s="1"/>
  <c r="AE48" i="4"/>
  <c r="AJ48" i="4" s="1"/>
  <c r="AF48" i="4"/>
  <c r="AK48" i="4" s="1"/>
  <c r="AD38" i="4"/>
  <c r="AI38" i="4" s="1"/>
  <c r="AE38" i="4"/>
  <c r="AJ38" i="4" s="1"/>
  <c r="AF38" i="4"/>
  <c r="AK38" i="4" s="1"/>
  <c r="AE37" i="4"/>
  <c r="AJ37" i="4" s="1"/>
  <c r="AF37" i="4"/>
  <c r="AK37" i="4" s="1"/>
  <c r="AD37" i="4"/>
  <c r="AI37" i="4" s="1"/>
  <c r="AF49" i="4"/>
  <c r="AK49" i="4" s="1"/>
  <c r="AD49" i="4"/>
  <c r="AI49" i="4" s="1"/>
  <c r="AE49" i="4"/>
  <c r="AJ49" i="4" s="1"/>
  <c r="AF41" i="4"/>
  <c r="AK41" i="4" s="1"/>
  <c r="AD41" i="4"/>
  <c r="AI41" i="4" s="1"/>
  <c r="AE41" i="4"/>
  <c r="AJ41" i="4" s="1"/>
  <c r="AC48" i="4"/>
  <c r="AH48" i="4" s="1"/>
  <c r="AU31" i="4"/>
  <c r="AB47" i="4"/>
  <c r="AG47" i="4" s="1"/>
  <c r="AC50" i="4"/>
  <c r="AH50" i="4" s="1"/>
  <c r="AB49" i="4"/>
  <c r="AG49" i="4" s="1"/>
  <c r="AB45" i="4"/>
  <c r="AG45" i="4" s="1"/>
  <c r="AB48" i="4"/>
  <c r="AG48" i="4" s="1"/>
  <c r="AB38" i="4"/>
  <c r="AG38" i="4" s="1"/>
  <c r="AB43" i="4"/>
  <c r="AG43" i="4" s="1"/>
  <c r="AB46" i="4"/>
  <c r="AG46" i="4" s="1"/>
  <c r="AC45" i="4"/>
  <c r="AH45" i="4" s="1"/>
  <c r="AB44" i="4"/>
  <c r="AG44" i="4" s="1"/>
  <c r="AC41" i="4"/>
  <c r="AH41" i="4" s="1"/>
  <c r="AB37" i="4"/>
  <c r="AG37" i="4" s="1"/>
  <c r="AC47" i="4"/>
  <c r="AH47" i="4" s="1"/>
  <c r="AB42" i="4"/>
  <c r="AG42" i="4" s="1"/>
  <c r="AB39" i="4"/>
  <c r="AG39" i="4" s="1"/>
  <c r="AC43" i="4"/>
  <c r="AH43" i="4" s="1"/>
  <c r="AC38" i="4"/>
  <c r="AH38" i="4" s="1"/>
  <c r="AC37" i="4"/>
  <c r="AH37" i="4" s="1"/>
  <c r="AC46" i="4"/>
  <c r="AH46" i="4" s="1"/>
  <c r="AC49" i="4"/>
  <c r="AH49" i="4" s="1"/>
  <c r="AC42" i="4"/>
  <c r="AH42" i="4" s="1"/>
  <c r="AC39" i="4"/>
  <c r="AH39" i="4" s="1"/>
  <c r="AC44" i="4"/>
  <c r="AH44" i="4" s="1"/>
  <c r="AQ46" i="4" l="1"/>
  <c r="AQ41" i="4"/>
  <c r="AQ40" i="4"/>
  <c r="AQ50" i="4"/>
  <c r="AQ42" i="4"/>
  <c r="AQ45" i="4"/>
  <c r="AQ39" i="4"/>
  <c r="AQ43" i="4"/>
  <c r="AQ38" i="4"/>
  <c r="AQ48" i="4"/>
  <c r="AQ37" i="4"/>
  <c r="AQ49" i="4"/>
  <c r="AQ44" i="4"/>
  <c r="AQ47" i="4"/>
  <c r="AS41" i="4"/>
  <c r="V32" i="4"/>
  <c r="V33" i="4"/>
  <c r="V34" i="4"/>
  <c r="V35" i="4"/>
  <c r="V36" i="4"/>
  <c r="V26" i="4"/>
  <c r="V27" i="4"/>
  <c r="V28" i="4"/>
  <c r="V29" i="4"/>
  <c r="V30" i="4"/>
  <c r="AU41" i="4" l="1"/>
  <c r="AC26" i="4"/>
  <c r="AH26" i="4" s="1"/>
  <c r="AD26" i="4"/>
  <c r="AI26" i="4" s="1"/>
  <c r="AF26" i="4"/>
  <c r="AK26" i="4" s="1"/>
  <c r="AE26" i="4"/>
  <c r="AJ26" i="4" s="1"/>
  <c r="AC36" i="4"/>
  <c r="AH36" i="4" s="1"/>
  <c r="AE36" i="4"/>
  <c r="AJ36" i="4" s="1"/>
  <c r="AF36" i="4"/>
  <c r="AK36" i="4" s="1"/>
  <c r="AD36" i="4"/>
  <c r="AI36" i="4" s="1"/>
  <c r="AC35" i="4"/>
  <c r="AH35" i="4" s="1"/>
  <c r="AD35" i="4"/>
  <c r="AI35" i="4" s="1"/>
  <c r="AE35" i="4"/>
  <c r="AJ35" i="4" s="1"/>
  <c r="AF35" i="4"/>
  <c r="AK35" i="4" s="1"/>
  <c r="AC34" i="4"/>
  <c r="AH34" i="4" s="1"/>
  <c r="AD34" i="4"/>
  <c r="AI34" i="4" s="1"/>
  <c r="AF34" i="4"/>
  <c r="AK34" i="4" s="1"/>
  <c r="AE34" i="4"/>
  <c r="AJ34" i="4" s="1"/>
  <c r="AC33" i="4"/>
  <c r="AH33" i="4" s="1"/>
  <c r="AF33" i="4"/>
  <c r="AK33" i="4" s="1"/>
  <c r="AD33" i="4"/>
  <c r="AI33" i="4" s="1"/>
  <c r="AE33" i="4"/>
  <c r="AJ33" i="4" s="1"/>
  <c r="AC30" i="4"/>
  <c r="AH30" i="4" s="1"/>
  <c r="AD30" i="4"/>
  <c r="AI30" i="4" s="1"/>
  <c r="AE30" i="4"/>
  <c r="AJ30" i="4" s="1"/>
  <c r="AF30" i="4"/>
  <c r="AK30" i="4" s="1"/>
  <c r="AC29" i="4"/>
  <c r="AH29" i="4" s="1"/>
  <c r="AE29" i="4"/>
  <c r="AJ29" i="4" s="1"/>
  <c r="AF29" i="4"/>
  <c r="AK29" i="4" s="1"/>
  <c r="AD29" i="4"/>
  <c r="AI29" i="4" s="1"/>
  <c r="AC32" i="4"/>
  <c r="AH32" i="4" s="1"/>
  <c r="AD32" i="4"/>
  <c r="AI32" i="4" s="1"/>
  <c r="AE32" i="4"/>
  <c r="AJ32" i="4" s="1"/>
  <c r="AF32" i="4"/>
  <c r="AK32" i="4" s="1"/>
  <c r="AC27" i="4"/>
  <c r="AH27" i="4" s="1"/>
  <c r="AD27" i="4"/>
  <c r="AI27" i="4" s="1"/>
  <c r="AE27" i="4"/>
  <c r="AJ27" i="4" s="1"/>
  <c r="AF27" i="4"/>
  <c r="AK27" i="4" s="1"/>
  <c r="AC28" i="4"/>
  <c r="AH28" i="4" s="1"/>
  <c r="AE28" i="4"/>
  <c r="AJ28" i="4" s="1"/>
  <c r="AF28" i="4"/>
  <c r="AK28" i="4" s="1"/>
  <c r="AD28" i="4"/>
  <c r="AI28" i="4" s="1"/>
  <c r="AB35" i="4"/>
  <c r="AG35" i="4" s="1"/>
  <c r="AS43" i="4"/>
  <c r="AU43" i="4" s="1"/>
  <c r="AS47" i="4"/>
  <c r="AU47" i="4" s="1"/>
  <c r="AS46" i="4"/>
  <c r="AU46" i="4" s="1"/>
  <c r="AS48" i="4"/>
  <c r="AU48" i="4" s="1"/>
  <c r="AS40" i="4"/>
  <c r="AU40" i="4" s="1"/>
  <c r="AS42" i="4"/>
  <c r="AU42" i="4" s="1"/>
  <c r="AS38" i="4"/>
  <c r="AU38" i="4" s="1"/>
  <c r="AS50" i="4"/>
  <c r="AU50" i="4" s="1"/>
  <c r="AS37" i="4"/>
  <c r="AU37" i="4" s="1"/>
  <c r="AS45" i="4"/>
  <c r="AU45" i="4" s="1"/>
  <c r="AS49" i="4"/>
  <c r="AU49" i="4" s="1"/>
  <c r="AS44" i="4"/>
  <c r="AU44" i="4" s="1"/>
  <c r="AS54" i="4"/>
  <c r="AU54" i="4" s="1"/>
  <c r="AS53" i="4"/>
  <c r="AU53" i="4" s="1"/>
  <c r="AS52" i="4"/>
  <c r="AU52" i="4" s="1"/>
  <c r="AS51" i="4"/>
  <c r="AU51" i="4" s="1"/>
  <c r="AS9" i="4"/>
  <c r="AS39" i="4"/>
  <c r="AU39" i="4" s="1"/>
  <c r="AT13" i="4"/>
  <c r="AT21" i="4"/>
  <c r="AT29" i="4"/>
  <c r="AT38" i="4"/>
  <c r="AV38" i="4" s="1"/>
  <c r="AT46" i="4"/>
  <c r="AV46" i="4" s="1"/>
  <c r="AT15" i="4"/>
  <c r="AT32" i="4"/>
  <c r="AT48" i="4"/>
  <c r="AV48" i="4" s="1"/>
  <c r="AT24" i="4"/>
  <c r="AT41" i="4"/>
  <c r="AV41" i="4" s="1"/>
  <c r="AT19" i="4"/>
  <c r="AT44" i="4"/>
  <c r="AV44" i="4" s="1"/>
  <c r="AT28" i="4"/>
  <c r="AT45" i="4"/>
  <c r="AV45" i="4" s="1"/>
  <c r="AT14" i="4"/>
  <c r="AT22" i="4"/>
  <c r="AT30" i="4"/>
  <c r="AT39" i="4"/>
  <c r="AV39" i="4" s="1"/>
  <c r="AT47" i="4"/>
  <c r="AV47" i="4" s="1"/>
  <c r="AT23" i="4"/>
  <c r="AT40" i="4"/>
  <c r="AV40" i="4" s="1"/>
  <c r="AT16" i="4"/>
  <c r="AT33" i="4"/>
  <c r="AT49" i="4"/>
  <c r="AV49" i="4" s="1"/>
  <c r="AT36" i="4"/>
  <c r="AT51" i="4"/>
  <c r="AV51" i="4" s="1"/>
  <c r="AT12" i="4"/>
  <c r="AT20" i="4"/>
  <c r="AT37" i="4"/>
  <c r="AV37" i="4" s="1"/>
  <c r="AT54" i="4"/>
  <c r="AV54" i="4" s="1"/>
  <c r="AT17" i="4"/>
  <c r="AT25" i="4"/>
  <c r="AT34" i="4"/>
  <c r="AT42" i="4"/>
  <c r="AV42" i="4" s="1"/>
  <c r="AT50" i="4"/>
  <c r="AV50" i="4" s="1"/>
  <c r="AT53" i="4"/>
  <c r="AV53" i="4" s="1"/>
  <c r="AT18" i="4"/>
  <c r="AT26" i="4"/>
  <c r="AT35" i="4"/>
  <c r="AT43" i="4"/>
  <c r="AV43" i="4" s="1"/>
  <c r="AT9" i="4"/>
  <c r="AT52" i="4"/>
  <c r="AV52" i="4" s="1"/>
  <c r="AT11" i="4"/>
  <c r="AT27" i="4"/>
  <c r="AB29" i="4"/>
  <c r="AG29" i="4" s="1"/>
  <c r="AB26" i="4"/>
  <c r="AG26" i="4" s="1"/>
  <c r="AB36" i="4"/>
  <c r="AG36" i="4" s="1"/>
  <c r="AB32" i="4"/>
  <c r="AG32" i="4" s="1"/>
  <c r="AB30" i="4"/>
  <c r="AG30" i="4" s="1"/>
  <c r="AB34" i="4"/>
  <c r="AG34" i="4" s="1"/>
  <c r="AB27" i="4"/>
  <c r="AG27" i="4" s="1"/>
  <c r="AQ27" i="4" s="1"/>
  <c r="AB33" i="4"/>
  <c r="AG33" i="4" s="1"/>
  <c r="AQ33" i="4" s="1"/>
  <c r="AB28" i="4"/>
  <c r="AG28" i="4" s="1"/>
  <c r="AQ29" i="4" l="1"/>
  <c r="AV29" i="4" s="1"/>
  <c r="AQ28" i="4"/>
  <c r="AV28" i="4" s="1"/>
  <c r="AQ26" i="4"/>
  <c r="AV26" i="4" s="1"/>
  <c r="AQ35" i="4"/>
  <c r="AV35" i="4" s="1"/>
  <c r="AQ34" i="4"/>
  <c r="AV34" i="4" s="1"/>
  <c r="AQ32" i="4"/>
  <c r="AV32" i="4" s="1"/>
  <c r="AQ30" i="4"/>
  <c r="AV30" i="4" s="1"/>
  <c r="AQ36" i="4"/>
  <c r="AV36" i="4" s="1"/>
  <c r="AV27" i="4"/>
  <c r="AV33" i="4"/>
  <c r="V25" i="4"/>
  <c r="V24" i="4"/>
  <c r="V23" i="4"/>
  <c r="V22" i="4"/>
  <c r="V21" i="4"/>
  <c r="V20" i="4"/>
  <c r="V19" i="4"/>
  <c r="V18" i="4"/>
  <c r="V17" i="4"/>
  <c r="V16" i="4"/>
  <c r="V15" i="4"/>
  <c r="V14" i="4"/>
  <c r="V13" i="4"/>
  <c r="V12" i="4"/>
  <c r="V11" i="4"/>
  <c r="V10" i="4"/>
  <c r="V9" i="4"/>
  <c r="AC11" i="4" l="1"/>
  <c r="AH11" i="4" s="1"/>
  <c r="AD11" i="4"/>
  <c r="AI11" i="4" s="1"/>
  <c r="AE11" i="4"/>
  <c r="AJ11" i="4" s="1"/>
  <c r="AF11" i="4"/>
  <c r="AK11" i="4" s="1"/>
  <c r="AE12" i="4"/>
  <c r="AJ12" i="4" s="1"/>
  <c r="AF12" i="4"/>
  <c r="AK12" i="4" s="1"/>
  <c r="AD12" i="4"/>
  <c r="AI12" i="4" s="1"/>
  <c r="AE20" i="4"/>
  <c r="AJ20" i="4" s="1"/>
  <c r="AF20" i="4"/>
  <c r="AK20" i="4" s="1"/>
  <c r="AD20" i="4"/>
  <c r="AI20" i="4" s="1"/>
  <c r="AC22" i="4"/>
  <c r="AH22" i="4" s="1"/>
  <c r="AD22" i="4"/>
  <c r="AI22" i="4" s="1"/>
  <c r="AE22" i="4"/>
  <c r="AJ22" i="4" s="1"/>
  <c r="AF22" i="4"/>
  <c r="AK22" i="4" s="1"/>
  <c r="AC19" i="4"/>
  <c r="AH19" i="4" s="1"/>
  <c r="AD19" i="4"/>
  <c r="AI19" i="4" s="1"/>
  <c r="AE19" i="4"/>
  <c r="AJ19" i="4" s="1"/>
  <c r="AF19" i="4"/>
  <c r="AK19" i="4" s="1"/>
  <c r="AC14" i="4"/>
  <c r="AH14" i="4" s="1"/>
  <c r="AD14" i="4"/>
  <c r="AI14" i="4" s="1"/>
  <c r="AE14" i="4"/>
  <c r="AJ14" i="4" s="1"/>
  <c r="AF14" i="4"/>
  <c r="AK14" i="4" s="1"/>
  <c r="AC23" i="4"/>
  <c r="AH23" i="4" s="1"/>
  <c r="AD23" i="4"/>
  <c r="AI23" i="4" s="1"/>
  <c r="AE23" i="4"/>
  <c r="AJ23" i="4" s="1"/>
  <c r="AF23" i="4"/>
  <c r="AK23" i="4" s="1"/>
  <c r="AC16" i="4"/>
  <c r="AH16" i="4" s="1"/>
  <c r="AD16" i="4"/>
  <c r="AI16" i="4" s="1"/>
  <c r="AE16" i="4"/>
  <c r="AJ16" i="4" s="1"/>
  <c r="AF16" i="4"/>
  <c r="AK16" i="4" s="1"/>
  <c r="AC24" i="4"/>
  <c r="AH24" i="4" s="1"/>
  <c r="AD24" i="4"/>
  <c r="AI24" i="4" s="1"/>
  <c r="AE24" i="4"/>
  <c r="AJ24" i="4" s="1"/>
  <c r="AF24" i="4"/>
  <c r="AK24" i="4" s="1"/>
  <c r="AC21" i="4"/>
  <c r="AH21" i="4" s="1"/>
  <c r="AE21" i="4"/>
  <c r="AJ21" i="4" s="1"/>
  <c r="AD21" i="4"/>
  <c r="AI21" i="4" s="1"/>
  <c r="AF21" i="4"/>
  <c r="AK21" i="4" s="1"/>
  <c r="AF9" i="4"/>
  <c r="AK9" i="4" s="1"/>
  <c r="AE9" i="4"/>
  <c r="AJ9" i="4" s="1"/>
  <c r="AC9" i="4"/>
  <c r="AH9" i="4" s="1"/>
  <c r="AB9" i="4"/>
  <c r="AG9" i="4" s="1"/>
  <c r="AD9" i="4"/>
  <c r="AI9" i="4" s="1"/>
  <c r="AC17" i="4"/>
  <c r="AH17" i="4" s="1"/>
  <c r="AF17" i="4"/>
  <c r="AK17" i="4" s="1"/>
  <c r="AD17" i="4"/>
  <c r="AI17" i="4" s="1"/>
  <c r="AE17" i="4"/>
  <c r="AJ17" i="4" s="1"/>
  <c r="AC25" i="4"/>
  <c r="AH25" i="4" s="1"/>
  <c r="AF25" i="4"/>
  <c r="AK25" i="4" s="1"/>
  <c r="AD25" i="4"/>
  <c r="AI25" i="4" s="1"/>
  <c r="AE25" i="4"/>
  <c r="AJ25" i="4" s="1"/>
  <c r="AC13" i="4"/>
  <c r="AH13" i="4" s="1"/>
  <c r="AE13" i="4"/>
  <c r="AJ13" i="4" s="1"/>
  <c r="AF13" i="4"/>
  <c r="AK13" i="4" s="1"/>
  <c r="AD13" i="4"/>
  <c r="AI13" i="4" s="1"/>
  <c r="AC15" i="4"/>
  <c r="AH15" i="4" s="1"/>
  <c r="AD15" i="4"/>
  <c r="AI15" i="4" s="1"/>
  <c r="AF15" i="4"/>
  <c r="AK15" i="4" s="1"/>
  <c r="AE15" i="4"/>
  <c r="AJ15" i="4" s="1"/>
  <c r="AC10" i="4"/>
  <c r="AH10" i="4" s="1"/>
  <c r="AD10" i="4"/>
  <c r="AI10" i="4" s="1"/>
  <c r="AE10" i="4"/>
  <c r="AJ10" i="4" s="1"/>
  <c r="AF10" i="4"/>
  <c r="AK10" i="4" s="1"/>
  <c r="AD18" i="4"/>
  <c r="AI18" i="4" s="1"/>
  <c r="AE18" i="4"/>
  <c r="AJ18" i="4" s="1"/>
  <c r="AF18" i="4"/>
  <c r="AK18" i="4" s="1"/>
  <c r="AB12" i="4"/>
  <c r="AG12" i="4" s="1"/>
  <c r="AC12" i="4"/>
  <c r="AH12" i="4" s="1"/>
  <c r="AB20" i="4"/>
  <c r="AG20" i="4" s="1"/>
  <c r="AC20" i="4"/>
  <c r="AH20" i="4" s="1"/>
  <c r="AB18" i="4"/>
  <c r="AG18" i="4" s="1"/>
  <c r="AC18" i="4"/>
  <c r="AH18" i="4" s="1"/>
  <c r="AB13" i="4"/>
  <c r="AG13" i="4" s="1"/>
  <c r="AB21" i="4"/>
  <c r="AG21" i="4" s="1"/>
  <c r="AS33" i="4"/>
  <c r="AU33" i="4" s="1"/>
  <c r="AS29" i="4"/>
  <c r="AU29" i="4" s="1"/>
  <c r="AS28" i="4"/>
  <c r="AU28" i="4" s="1"/>
  <c r="AS32" i="4"/>
  <c r="AU32" i="4" s="1"/>
  <c r="AS30" i="4"/>
  <c r="AU30" i="4" s="1"/>
  <c r="AS35" i="4"/>
  <c r="AU35" i="4" s="1"/>
  <c r="AS34" i="4"/>
  <c r="AU34" i="4" s="1"/>
  <c r="AS27" i="4"/>
  <c r="AU27" i="4" s="1"/>
  <c r="AS26" i="4"/>
  <c r="AU26" i="4" s="1"/>
  <c r="AS36" i="4"/>
  <c r="AU36" i="4" s="1"/>
  <c r="AB17" i="4"/>
  <c r="AG17" i="4" s="1"/>
  <c r="AB25" i="4"/>
  <c r="AG25" i="4" s="1"/>
  <c r="AB15" i="4"/>
  <c r="AG15" i="4" s="1"/>
  <c r="AB19" i="4"/>
  <c r="AG19" i="4" s="1"/>
  <c r="AB22" i="4"/>
  <c r="AG22" i="4" s="1"/>
  <c r="AB10" i="4"/>
  <c r="AG10" i="4" s="1"/>
  <c r="AB23" i="4"/>
  <c r="AG23" i="4" s="1"/>
  <c r="AB14" i="4"/>
  <c r="AG14" i="4" s="1"/>
  <c r="AB11" i="4"/>
  <c r="AG11" i="4" s="1"/>
  <c r="AB16" i="4"/>
  <c r="AG16" i="4" s="1"/>
  <c r="AQ16" i="4" s="1"/>
  <c r="AV16" i="4" s="1"/>
  <c r="AB24" i="4"/>
  <c r="AG24" i="4" s="1"/>
  <c r="AS18" i="4"/>
  <c r="AS25" i="4"/>
  <c r="AS24" i="4"/>
  <c r="AS17" i="4"/>
  <c r="AS22" i="4"/>
  <c r="AS16" i="4"/>
  <c r="AS14" i="4"/>
  <c r="AS13" i="4"/>
  <c r="AS21" i="4"/>
  <c r="AS15" i="4"/>
  <c r="AS23" i="4"/>
  <c r="AS12" i="4"/>
  <c r="AS20" i="4"/>
  <c r="AS11" i="4"/>
  <c r="AS19" i="4"/>
  <c r="AQ11" i="4" l="1"/>
  <c r="AV11" i="4" s="1"/>
  <c r="AQ19" i="4"/>
  <c r="AV19" i="4" s="1"/>
  <c r="AQ14" i="4"/>
  <c r="AV14" i="4" s="1"/>
  <c r="AQ24" i="4"/>
  <c r="AV24" i="4" s="1"/>
  <c r="AQ17" i="4"/>
  <c r="AV17" i="4" s="1"/>
  <c r="AQ20" i="4"/>
  <c r="AV20" i="4" s="1"/>
  <c r="AQ25" i="4"/>
  <c r="AV25" i="4" s="1"/>
  <c r="AQ23" i="4"/>
  <c r="AV23" i="4" s="1"/>
  <c r="AQ15" i="4"/>
  <c r="AV15" i="4" s="1"/>
  <c r="AQ22" i="4"/>
  <c r="AV22" i="4" s="1"/>
  <c r="AQ13" i="4"/>
  <c r="AV13" i="4" s="1"/>
  <c r="AU19" i="4"/>
  <c r="AU11" i="4"/>
  <c r="AU16" i="4"/>
  <c r="AQ18" i="4"/>
  <c r="AV18" i="4" s="1"/>
  <c r="AQ12" i="4"/>
  <c r="AV12" i="4" s="1"/>
  <c r="AQ10" i="4"/>
  <c r="AQ21" i="4"/>
  <c r="AV21" i="4" s="1"/>
  <c r="AQ9" i="4"/>
  <c r="B43" i="7"/>
  <c r="B20" i="7"/>
  <c r="B23" i="7" s="1"/>
  <c r="B27" i="7" s="1"/>
  <c r="B21" i="7"/>
  <c r="B9" i="7"/>
  <c r="AU20" i="4" l="1"/>
  <c r="AU24" i="4"/>
  <c r="AU23" i="4"/>
  <c r="AU17" i="4"/>
  <c r="AU14" i="4"/>
  <c r="AU25" i="4"/>
  <c r="AU13" i="4"/>
  <c r="AU15" i="4"/>
  <c r="AU22" i="4"/>
  <c r="AU21" i="4"/>
  <c r="G22" i="7"/>
  <c r="I24" i="7" s="1"/>
  <c r="G25" i="7" s="1"/>
  <c r="F25" i="7" s="1"/>
  <c r="B11" i="7"/>
  <c r="B15" i="7" s="1"/>
  <c r="B33" i="7" s="1"/>
  <c r="AV10" i="4"/>
  <c r="AU10" i="4"/>
  <c r="B22" i="7"/>
  <c r="B26" i="7" s="1"/>
  <c r="B25" i="7"/>
  <c r="B29" i="7" s="1"/>
  <c r="AU12" i="4"/>
  <c r="B13" i="7"/>
  <c r="B17" i="7" s="1"/>
  <c r="B12" i="7"/>
  <c r="B16" i="7" s="1"/>
  <c r="AV9" i="4"/>
  <c r="AU9" i="4"/>
  <c r="AU18" i="4"/>
  <c r="B44" i="7"/>
  <c r="B24" i="7"/>
  <c r="B28" i="7" s="1"/>
  <c r="B10" i="7"/>
  <c r="B14" i="7" s="1"/>
  <c r="C6" i="1"/>
  <c r="C7" i="1"/>
  <c r="C8" i="1"/>
  <c r="C9" i="1"/>
  <c r="C10" i="1"/>
  <c r="C11" i="1"/>
  <c r="C13" i="1"/>
  <c r="C14" i="1"/>
  <c r="C15" i="1"/>
  <c r="C5" i="1"/>
  <c r="H26" i="7" l="1"/>
  <c r="G26" i="7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I38" i="7" s="1"/>
  <c r="I39" i="7" s="1"/>
  <c r="I40" i="7" s="1"/>
  <c r="I41" i="7" s="1"/>
  <c r="B35" i="7"/>
  <c r="B46" i="7" s="1"/>
  <c r="B32" i="7"/>
  <c r="B34" i="7"/>
  <c r="B37" i="7" s="1"/>
  <c r="B52" i="7" l="1"/>
</calcChain>
</file>

<file path=xl/comments1.xml><?xml version="1.0" encoding="utf-8"?>
<comments xmlns="http://schemas.openxmlformats.org/spreadsheetml/2006/main">
  <authors>
    <author>Jarod Limke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</commentList>
</comments>
</file>

<file path=xl/comments2.xml><?xml version="1.0" encoding="utf-8"?>
<comments xmlns="http://schemas.openxmlformats.org/spreadsheetml/2006/main">
  <authors>
    <author>Jarod Limke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</commentList>
</comments>
</file>

<file path=xl/comments3.xml><?xml version="1.0" encoding="utf-8"?>
<comments xmlns="http://schemas.openxmlformats.org/spreadsheetml/2006/main">
  <authors>
    <author>Jarod Limke</author>
  </authors>
  <commentList>
    <comment ref="B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F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N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R27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</commentList>
</comments>
</file>

<file path=xl/comments4.xml><?xml version="1.0" encoding="utf-8"?>
<comments xmlns="http://schemas.openxmlformats.org/spreadsheetml/2006/main">
  <authors>
    <author>Jarod Limke</author>
  </authors>
  <commentList>
    <comment ref="C26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  <comment ref="H26" authorId="0" shapeId="0">
      <text>
        <r>
          <rPr>
            <b/>
            <sz val="9"/>
            <color indexed="81"/>
            <rFont val="Tahoma"/>
            <family val="2"/>
          </rPr>
          <t>Jarod Limke:</t>
        </r>
        <r>
          <rPr>
            <sz val="9"/>
            <color indexed="81"/>
            <rFont val="Tahoma"/>
            <family val="2"/>
          </rPr>
          <t xml:space="preserve">
Perry, 1997
chap 6 pp. 18, table 6-4</t>
        </r>
      </text>
    </comment>
  </commentList>
</comments>
</file>

<file path=xl/sharedStrings.xml><?xml version="1.0" encoding="utf-8"?>
<sst xmlns="http://schemas.openxmlformats.org/spreadsheetml/2006/main" count="1135" uniqueCount="230">
  <si>
    <t>Pressure Head (ft)</t>
  </si>
  <si>
    <t>Length (ft)</t>
  </si>
  <si>
    <t>Width (ft)</t>
  </si>
  <si>
    <t>Depth (ft)</t>
  </si>
  <si>
    <t>Wet Well Compartment 2</t>
  </si>
  <si>
    <t>Wet Well Compartment 1</t>
  </si>
  <si>
    <t>Total Volume (gal)</t>
  </si>
  <si>
    <t>Qin</t>
  </si>
  <si>
    <t>gpm</t>
  </si>
  <si>
    <t>Qout</t>
  </si>
  <si>
    <t>Qdelta</t>
  </si>
  <si>
    <t>min</t>
  </si>
  <si>
    <t>Backwash duration</t>
  </si>
  <si>
    <t>minimum</t>
  </si>
  <si>
    <t>Times to fill wet well</t>
  </si>
  <si>
    <t>SYSTEM CURVE</t>
  </si>
  <si>
    <t>STATIC HEAD</t>
  </si>
  <si>
    <t>ft</t>
  </si>
  <si>
    <t>Flow</t>
  </si>
  <si>
    <t>cfs</t>
  </si>
  <si>
    <t>sf</t>
  </si>
  <si>
    <t>fps</t>
  </si>
  <si>
    <t>FRICTION LOSS</t>
  </si>
  <si>
    <t>Hazen Williams Coefficients</t>
  </si>
  <si>
    <t>C_water</t>
  </si>
  <si>
    <t>C_wastewater</t>
  </si>
  <si>
    <t>DI</t>
  </si>
  <si>
    <t>80-120</t>
  </si>
  <si>
    <t>80-110</t>
  </si>
  <si>
    <t>Steel</t>
  </si>
  <si>
    <t>110-130</t>
  </si>
  <si>
    <t>PVC</t>
  </si>
  <si>
    <t>135-150</t>
  </si>
  <si>
    <t>130-145</t>
  </si>
  <si>
    <t>hf = (L)(D^-4.87)(10.5)(Q/C)^1.85</t>
  </si>
  <si>
    <t>L = Length of pipe (ft)</t>
  </si>
  <si>
    <t>D = Inner Diameter of pipe (in)</t>
  </si>
  <si>
    <t>in</t>
  </si>
  <si>
    <t>C = HW coefficient (table above)</t>
  </si>
  <si>
    <t>MINOR LOSSES</t>
  </si>
  <si>
    <t>K</t>
  </si>
  <si>
    <t>Entry Losses</t>
  </si>
  <si>
    <t>qty</t>
  </si>
  <si>
    <t>Bellmouth</t>
  </si>
  <si>
    <t>Rounded</t>
  </si>
  <si>
    <t>Sharp Edged</t>
  </si>
  <si>
    <t>Projecting</t>
  </si>
  <si>
    <t>Exit Loss</t>
  </si>
  <si>
    <t>90 deg Ell, std</t>
  </si>
  <si>
    <t>91 deg Ell, long radius</t>
  </si>
  <si>
    <t>45 deg Ell, std</t>
  </si>
  <si>
    <t>45 deg Ell, long radius</t>
  </si>
  <si>
    <t>Tee, line flow</t>
  </si>
  <si>
    <t>Tee, branch flow</t>
  </si>
  <si>
    <t>Coupling</t>
  </si>
  <si>
    <t>Union</t>
  </si>
  <si>
    <t>Gate Valve, open</t>
  </si>
  <si>
    <t>Gate Valve, 3/4 open</t>
  </si>
  <si>
    <t>Gate Valve, 1/2 open</t>
  </si>
  <si>
    <t>Gate Valve, 1/4 open</t>
  </si>
  <si>
    <t>Cross, line flow</t>
  </si>
  <si>
    <t>Cross, branch flow</t>
  </si>
  <si>
    <t>Wye</t>
  </si>
  <si>
    <t>Ball Check Valve</t>
  </si>
  <si>
    <t>Rubber swingcheck valve</t>
  </si>
  <si>
    <t>Metal swing check valve</t>
  </si>
  <si>
    <t>Gate Valve</t>
  </si>
  <si>
    <t>Ball Valve</t>
  </si>
  <si>
    <t>TOTAL K IN APP</t>
  </si>
  <si>
    <t>Segment 1 (Existing 24" BWS Pipe)</t>
  </si>
  <si>
    <t>Seg 2 Velocity</t>
  </si>
  <si>
    <t>Seg 1 Velocity</t>
  </si>
  <si>
    <t>Seg 2 Area</t>
  </si>
  <si>
    <t>Seg 1 Area</t>
  </si>
  <si>
    <t>Seg 1 h_minor</t>
  </si>
  <si>
    <t>Seg 2 h_minor</t>
  </si>
  <si>
    <t>Seg 1 h_friction</t>
  </si>
  <si>
    <t>Seg 2 h_friction</t>
  </si>
  <si>
    <t>Butterfly Valve, Open</t>
  </si>
  <si>
    <t>Max. Total Static Head</t>
  </si>
  <si>
    <t>Min Total Static Head</t>
  </si>
  <si>
    <t>Max. Wet Well EL</t>
  </si>
  <si>
    <t>h_delta_min</t>
  </si>
  <si>
    <t>h_delta_max</t>
  </si>
  <si>
    <t>TDH Max</t>
  </si>
  <si>
    <t>TDH Min</t>
  </si>
  <si>
    <t>Min. Wet Well WSE</t>
  </si>
  <si>
    <t>Current pump 1 on depth</t>
  </si>
  <si>
    <t>Min. Depth (ft)</t>
  </si>
  <si>
    <t>Max. Depth (ft)</t>
  </si>
  <si>
    <t>Min Volume (ft^3)</t>
  </si>
  <si>
    <t>Max Volume (ft^3)</t>
  </si>
  <si>
    <t>Min Volume (gal)</t>
  </si>
  <si>
    <t>Max. Volume (gal)</t>
  </si>
  <si>
    <t>Min.</t>
  </si>
  <si>
    <t>Max.</t>
  </si>
  <si>
    <t xml:space="preserve">Low </t>
  </si>
  <si>
    <t>Existing Set Points in Wetwell</t>
  </si>
  <si>
    <t>High Alarm</t>
  </si>
  <si>
    <t>High High</t>
  </si>
  <si>
    <t>Flow (gpm)</t>
  </si>
  <si>
    <t>Segment 2 (New 20" BWS Pipe)</t>
  </si>
  <si>
    <t>Reducer</t>
  </si>
  <si>
    <t>Exit EL</t>
  </si>
  <si>
    <t>Best guess, to be confirmed with 2004 B&amp;C Drawings</t>
  </si>
  <si>
    <t>OVF</t>
  </si>
  <si>
    <t>Seg 2 h total</t>
  </si>
  <si>
    <t>1 Pump</t>
  </si>
  <si>
    <t>2 Pump</t>
  </si>
  <si>
    <t>Set Points</t>
  </si>
  <si>
    <r>
      <t>Q</t>
    </r>
    <r>
      <rPr>
        <vertAlign val="subscript"/>
        <sz val="11"/>
        <color theme="1"/>
        <rFont val="Calibri"/>
        <family val="2"/>
        <scheme val="minor"/>
      </rPr>
      <t>high rate, new filters</t>
    </r>
  </si>
  <si>
    <t>Very Conservative, Consider 120 for old DIP used for Water</t>
  </si>
  <si>
    <t>140 for New Pipe per Cameron Hydraulic Data</t>
  </si>
  <si>
    <t>Describe What Seg 1 and 2 include, need separate segments for VT Pump Column and Discharge Heard</t>
  </si>
  <si>
    <t>We cannot stamp an 11 fps velocity.</t>
  </si>
  <si>
    <t>Have we Confirmed? See New Drawing Worksheed</t>
  </si>
  <si>
    <t>Need to Add Max and Min EQ Level to spreadsheet</t>
  </si>
  <si>
    <t>Segment 5 (New Tie-in to EQ)</t>
  </si>
  <si>
    <t>Segment 3 (New 24" BWS Pipe)</t>
  </si>
  <si>
    <t>Segment 1 (Pump Suction Pipe)</t>
  </si>
  <si>
    <t>Surface Wash Flow</t>
  </si>
  <si>
    <t>Wash Ramp Up</t>
  </si>
  <si>
    <t>Wash Flow</t>
  </si>
  <si>
    <t>Hi Wash Flow</t>
  </si>
  <si>
    <t>Wash Ramp Down</t>
  </si>
  <si>
    <t>Total</t>
  </si>
  <si>
    <t xml:space="preserve">BWW  Cycle </t>
  </si>
  <si>
    <t>Flow Rate From Sludge Collector</t>
  </si>
  <si>
    <t>Collector Speed</t>
  </si>
  <si>
    <t>Length of Travel</t>
  </si>
  <si>
    <t>Time per pass</t>
  </si>
  <si>
    <t>Sludge Blow Down</t>
  </si>
  <si>
    <t>Total Flow</t>
  </si>
  <si>
    <t>gallons</t>
  </si>
  <si>
    <t>mn</t>
  </si>
  <si>
    <t>ft/mn</t>
  </si>
  <si>
    <t>Usable Volume (gal)</t>
  </si>
  <si>
    <t xml:space="preserve">gpm </t>
  </si>
  <si>
    <t>(one pump out of service)</t>
  </si>
  <si>
    <t>Volume</t>
  </si>
  <si>
    <t>gal</t>
  </si>
  <si>
    <t>Time to overflow</t>
  </si>
  <si>
    <t>minutes</t>
  </si>
  <si>
    <t>(assume high wash for one filter only, no sludge blow down)</t>
  </si>
  <si>
    <t>Overflow Depth</t>
  </si>
  <si>
    <t>Duration</t>
  </si>
  <si>
    <t>gpm/sf</t>
  </si>
  <si>
    <t>MIN</t>
  </si>
  <si>
    <t>Gal</t>
  </si>
  <si>
    <t>Overflow Volume (ft^3)</t>
  </si>
  <si>
    <t>Overflow Volume (gal)</t>
  </si>
  <si>
    <t>Overflow Volume</t>
  </si>
  <si>
    <t>Time to fill wet well</t>
  </si>
  <si>
    <t>Pump Bay Length =</t>
  </si>
  <si>
    <t>5D</t>
  </si>
  <si>
    <t>Pump Bay Width =</t>
  </si>
  <si>
    <t>2D</t>
  </si>
  <si>
    <t>Pump Offset off of Backwall =</t>
  </si>
  <si>
    <t>.75D</t>
  </si>
  <si>
    <t>Pump Offset off Backwall =</t>
  </si>
  <si>
    <t xml:space="preserve">                                                                                                                                                                                               </t>
  </si>
  <si>
    <t>Pump Height above Floor =</t>
  </si>
  <si>
    <t>.5D</t>
  </si>
  <si>
    <t>Pump Height Above Floor =</t>
  </si>
  <si>
    <t>inches</t>
  </si>
  <si>
    <t>S=</t>
  </si>
  <si>
    <r>
      <t>D(1+2.3F</t>
    </r>
    <r>
      <rPr>
        <vertAlign val="subscript"/>
        <sz val="10"/>
        <rFont val="Times New Roman"/>
        <family val="1"/>
      </rPr>
      <t>D</t>
    </r>
    <r>
      <rPr>
        <sz val="10"/>
        <rFont val="Times New Roman"/>
        <family val="1"/>
      </rPr>
      <t>)</t>
    </r>
  </si>
  <si>
    <t>Min Submergence</t>
  </si>
  <si>
    <r>
      <t>F</t>
    </r>
    <r>
      <rPr>
        <vertAlign val="subscript"/>
        <sz val="10"/>
        <rFont val="Times New Roman"/>
        <family val="1"/>
      </rPr>
      <t>D</t>
    </r>
    <r>
      <rPr>
        <sz val="10"/>
        <rFont val="Times New Roman"/>
        <family val="1"/>
      </rPr>
      <t>=</t>
    </r>
  </si>
  <si>
    <t>V=</t>
  </si>
  <si>
    <t>Q=</t>
  </si>
  <si>
    <t>MGD</t>
  </si>
  <si>
    <t>D=</t>
  </si>
  <si>
    <t>Outside Diameter of Pump Bell</t>
  </si>
  <si>
    <r>
      <t>V/(gD)</t>
    </r>
    <r>
      <rPr>
        <vertAlign val="superscript"/>
        <sz val="10"/>
        <rFont val="Times New Roman"/>
        <family val="1"/>
      </rPr>
      <t>.5</t>
    </r>
  </si>
  <si>
    <t>Froude Number</t>
  </si>
  <si>
    <t>FD=</t>
  </si>
  <si>
    <t>Intake Geometry Calcs</t>
  </si>
  <si>
    <t>Min Water Level</t>
  </si>
  <si>
    <t>Segment 2 (Pump Discharge Pipe)</t>
  </si>
  <si>
    <t>Seg 3 Area</t>
  </si>
  <si>
    <t>Seg 4 Area</t>
  </si>
  <si>
    <t>Seg 5 Area</t>
  </si>
  <si>
    <t>Seg 3 Velocity</t>
  </si>
  <si>
    <t>Seg 4 Velocity</t>
  </si>
  <si>
    <t>Seg 5 Velocity</t>
  </si>
  <si>
    <t>Seg 3 h_minor</t>
  </si>
  <si>
    <t>Seg 4 h_minor</t>
  </si>
  <si>
    <t>Seg 5 h_minor</t>
  </si>
  <si>
    <t>Seg 3 h_friction</t>
  </si>
  <si>
    <t>Seg 4 h_friction</t>
  </si>
  <si>
    <t>Seg 5 h_friction</t>
  </si>
  <si>
    <t>h_minor total</t>
  </si>
  <si>
    <t>h_friction total</t>
  </si>
  <si>
    <t>60 hz</t>
  </si>
  <si>
    <t xml:space="preserve">50 hz </t>
  </si>
  <si>
    <t>40 hz</t>
  </si>
  <si>
    <t>35 hz</t>
  </si>
  <si>
    <t>Determine Wet Well Invert &amp; Float Elevations</t>
  </si>
  <si>
    <t>Top Elev=</t>
  </si>
  <si>
    <t>Gnd Elev=</t>
  </si>
  <si>
    <t xml:space="preserve">Alarm = </t>
  </si>
  <si>
    <t xml:space="preserve">Lag On = </t>
  </si>
  <si>
    <t xml:space="preserve">Lead On = </t>
  </si>
  <si>
    <t xml:space="preserve">Pumps Off = </t>
  </si>
  <si>
    <t>Bottom Invert Elev* =</t>
  </si>
  <si>
    <t xml:space="preserve"> Invert In=</t>
  </si>
  <si>
    <t xml:space="preserve">Overflow = </t>
  </si>
  <si>
    <t>Bottom</t>
  </si>
  <si>
    <t>Time</t>
  </si>
  <si>
    <t>Design OK</t>
  </si>
  <si>
    <t>Cross Sectional Area =</t>
  </si>
  <si>
    <t>ft2</t>
  </si>
  <si>
    <t>Total Volume In</t>
  </si>
  <si>
    <t>Total Volume Out</t>
  </si>
  <si>
    <t>Level</t>
  </si>
  <si>
    <t>pump start</t>
  </si>
  <si>
    <t>Pump Start Depth</t>
  </si>
  <si>
    <t>Pump Start Volume</t>
  </si>
  <si>
    <t>Pump Start Volume (ft^3)</t>
  </si>
  <si>
    <t>Pump Start Volume (gal)</t>
  </si>
  <si>
    <t>Wet Well Floor El:</t>
  </si>
  <si>
    <t>Segment 3 (Existing 20" BWS Pipe)</t>
  </si>
  <si>
    <t>Min Exit EL</t>
  </si>
  <si>
    <t>Max Exit El</t>
  </si>
  <si>
    <t>Segment 4 (Newish 20" BWS Pipe)</t>
  </si>
  <si>
    <t>Segment 4 (Existing 20" BWS Pipe)</t>
  </si>
  <si>
    <t>1 pump at 9675 gpm or 1296 ft3/min</t>
  </si>
  <si>
    <t>Large Pump info from Manufacturers Curve</t>
  </si>
  <si>
    <t>To be confirmed with 2004 B&amp;C Drawings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</si>
</sst>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.0"/>
    <numFmt numFmtId="165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rgb="FFFA7D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Times New Roman"/>
      <family val="1"/>
    </font>
    <font>
      <b/>
      <sz val="10"/>
      <color theme="3" tint="0.39997558519241921"/>
      <name val="Times New Roman"/>
      <family val="1"/>
    </font>
    <font>
      <b/>
      <sz val="10"/>
      <color rgb="FF0070C0"/>
      <name val="Times New Roman"/>
      <family val="1"/>
    </font>
    <font>
      <vertAlign val="subscript"/>
      <sz val="10"/>
      <name val="Times New Roman"/>
      <family val="1"/>
    </font>
    <font>
      <sz val="10"/>
      <color rgb="FFFF0000"/>
      <name val="Times New Roman"/>
      <family val="1"/>
    </font>
    <font>
      <vertAlign val="superscript"/>
      <sz val="10"/>
      <name val="Times New Roman"/>
      <family val="1"/>
    </font>
    <font>
      <sz val="11"/>
      <name val="Palatino Linotype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11"/>
      <color indexed="12"/>
      <name val="Times New Roman"/>
      <family val="1"/>
    </font>
    <font>
      <b/>
      <sz val="10"/>
      <color rgb="FFFF0000"/>
      <name val="Times New Roman"/>
      <family val="1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43" fontId="5" fillId="0" borderId="0" applyFont="0" applyFill="0" applyBorder="0" applyAlignment="0" applyProtection="0"/>
    <xf numFmtId="0" fontId="6" fillId="3" borderId="2" applyNumberFormat="0" applyAlignment="0" applyProtection="0"/>
    <xf numFmtId="0" fontId="8" fillId="4" borderId="0" applyNumberFormat="0" applyBorder="0" applyAlignment="0" applyProtection="0"/>
    <xf numFmtId="0" fontId="10" fillId="7" borderId="0" applyNumberFormat="0" applyBorder="0" applyAlignment="0" applyProtection="0"/>
    <xf numFmtId="0" fontId="11" fillId="0" borderId="0"/>
    <xf numFmtId="0" fontId="8" fillId="8" borderId="0" applyNumberFormat="0" applyBorder="0" applyAlignment="0" applyProtection="0"/>
    <xf numFmtId="0" fontId="5" fillId="9" borderId="0" applyNumberFormat="0" applyBorder="0" applyAlignment="0" applyProtection="0"/>
    <xf numFmtId="0" fontId="17" fillId="0" borderId="0"/>
  </cellStyleXfs>
  <cellXfs count="127">
    <xf numFmtId="0" fontId="0" fillId="0" borderId="0" xfId="0"/>
    <xf numFmtId="0" fontId="1" fillId="0" borderId="0" xfId="0" applyFont="1"/>
    <xf numFmtId="164" fontId="0" fillId="0" borderId="0" xfId="0" applyNumberFormat="1"/>
    <xf numFmtId="0" fontId="0" fillId="0" borderId="0" xfId="0" applyAlignment="1">
      <alignment horizontal="right"/>
    </xf>
    <xf numFmtId="0" fontId="0" fillId="0" borderId="1" xfId="0" applyBorder="1" applyAlignment="1">
      <alignment horizontal="right" vertical="center"/>
    </xf>
    <xf numFmtId="0" fontId="2" fillId="0" borderId="0" xfId="0" applyFont="1"/>
    <xf numFmtId="0" fontId="0" fillId="0" borderId="1" xfId="0" applyBorder="1"/>
    <xf numFmtId="2" fontId="0" fillId="0" borderId="1" xfId="0" applyNumberFormat="1" applyBorder="1" applyAlignment="1">
      <alignment horizontal="right" vertical="center"/>
    </xf>
    <xf numFmtId="164" fontId="0" fillId="0" borderId="1" xfId="0" applyNumberFormat="1" applyBorder="1" applyAlignment="1">
      <alignment horizontal="right" vertical="center"/>
    </xf>
    <xf numFmtId="2" fontId="0" fillId="0" borderId="1" xfId="0" applyNumberFormat="1" applyFont="1" applyFill="1" applyBorder="1" applyAlignment="1">
      <alignment horizontal="right" vertical="center"/>
    </xf>
    <xf numFmtId="164" fontId="0" fillId="0" borderId="1" xfId="0" applyNumberFormat="1" applyFont="1" applyFill="1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2" fontId="0" fillId="0" borderId="0" xfId="0" applyNumberFormat="1"/>
    <xf numFmtId="0" fontId="0" fillId="0" borderId="1" xfId="0" applyFill="1" applyBorder="1" applyAlignment="1">
      <alignment horizontal="center" vertical="center" wrapText="1"/>
    </xf>
    <xf numFmtId="164" fontId="0" fillId="0" borderId="1" xfId="0" applyNumberFormat="1" applyBorder="1"/>
    <xf numFmtId="165" fontId="0" fillId="0" borderId="0" xfId="1" applyNumberFormat="1" applyFont="1"/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right" vertical="center"/>
    </xf>
    <xf numFmtId="164" fontId="0" fillId="2" borderId="1" xfId="0" applyNumberFormat="1" applyFill="1" applyBorder="1" applyAlignment="1">
      <alignment horizontal="right" vertical="center"/>
    </xf>
    <xf numFmtId="0" fontId="0" fillId="0" borderId="0" xfId="0" applyFill="1"/>
    <xf numFmtId="0" fontId="8" fillId="4" borderId="1" xfId="3" applyBorder="1" applyAlignment="1">
      <alignment horizontal="center" wrapText="1"/>
    </xf>
    <xf numFmtId="0" fontId="8" fillId="4" borderId="1" xfId="3" applyBorder="1" applyAlignment="1">
      <alignment horizontal="center"/>
    </xf>
    <xf numFmtId="0" fontId="8" fillId="4" borderId="4" xfId="3" applyBorder="1"/>
    <xf numFmtId="0" fontId="8" fillId="4" borderId="5" xfId="3" applyBorder="1"/>
    <xf numFmtId="0" fontId="8" fillId="4" borderId="7" xfId="3" applyBorder="1" applyAlignment="1">
      <alignment horizontal="center"/>
    </xf>
    <xf numFmtId="0" fontId="8" fillId="4" borderId="6" xfId="3" applyBorder="1" applyAlignment="1">
      <alignment horizontal="center"/>
    </xf>
    <xf numFmtId="0" fontId="8" fillId="4" borderId="8" xfId="3" applyBorder="1" applyAlignment="1">
      <alignment horizontal="center"/>
    </xf>
    <xf numFmtId="0" fontId="8" fillId="4" borderId="9" xfId="3" applyBorder="1" applyAlignment="1">
      <alignment horizontal="center"/>
    </xf>
    <xf numFmtId="0" fontId="8" fillId="4" borderId="10" xfId="3" applyBorder="1" applyAlignment="1">
      <alignment horizontal="center"/>
    </xf>
    <xf numFmtId="0" fontId="0" fillId="0" borderId="1" xfId="0" applyFill="1" applyBorder="1" applyAlignment="1">
      <alignment horizontal="right" vertical="center"/>
    </xf>
    <xf numFmtId="164" fontId="0" fillId="0" borderId="1" xfId="0" applyNumberFormat="1" applyFill="1" applyBorder="1" applyAlignment="1">
      <alignment horizontal="right" vertical="center"/>
    </xf>
    <xf numFmtId="0" fontId="0" fillId="2" borderId="3" xfId="0" applyFill="1" applyBorder="1" applyAlignment="1">
      <alignment horizontal="right" vertical="center"/>
    </xf>
    <xf numFmtId="2" fontId="0" fillId="2" borderId="3" xfId="0" applyNumberFormat="1" applyFill="1" applyBorder="1" applyAlignment="1">
      <alignment horizontal="right" vertical="center"/>
    </xf>
    <xf numFmtId="2" fontId="0" fillId="2" borderId="1" xfId="0" applyNumberFormat="1" applyFill="1" applyBorder="1" applyAlignment="1">
      <alignment horizontal="right" vertical="center"/>
    </xf>
    <xf numFmtId="164" fontId="0" fillId="2" borderId="1" xfId="0" applyNumberFormat="1" applyFill="1" applyBorder="1"/>
    <xf numFmtId="164" fontId="9" fillId="5" borderId="1" xfId="0" applyNumberFormat="1" applyFont="1" applyFill="1" applyBorder="1" applyAlignment="1">
      <alignment horizontal="right" vertical="center"/>
    </xf>
    <xf numFmtId="0" fontId="0" fillId="2" borderId="0" xfId="0" applyFill="1"/>
    <xf numFmtId="0" fontId="0" fillId="5" borderId="0" xfId="0" applyFill="1"/>
    <xf numFmtId="0" fontId="0" fillId="6" borderId="0" xfId="0" applyFill="1"/>
    <xf numFmtId="0" fontId="0" fillId="2" borderId="1" xfId="0" applyFill="1" applyBorder="1"/>
    <xf numFmtId="0" fontId="9" fillId="6" borderId="0" xfId="0" applyFont="1" applyFill="1"/>
    <xf numFmtId="0" fontId="8" fillId="4" borderId="1" xfId="3" applyBorder="1" applyAlignment="1">
      <alignment horizontal="center"/>
    </xf>
    <xf numFmtId="0" fontId="8" fillId="4" borderId="7" xfId="3" applyBorder="1" applyAlignment="1">
      <alignment horizontal="center"/>
    </xf>
    <xf numFmtId="165" fontId="0" fillId="0" borderId="0" xfId="0" applyNumberFormat="1"/>
    <xf numFmtId="43" fontId="0" fillId="0" borderId="0" xfId="0" applyNumberFormat="1"/>
    <xf numFmtId="0" fontId="0" fillId="0" borderId="0" xfId="0" applyFill="1" applyBorder="1"/>
    <xf numFmtId="0" fontId="1" fillId="0" borderId="0" xfId="0" applyFont="1" applyFill="1" applyBorder="1"/>
    <xf numFmtId="0" fontId="9" fillId="0" borderId="0" xfId="4" applyFont="1" applyFill="1" applyBorder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right"/>
    </xf>
    <xf numFmtId="0" fontId="11" fillId="0" borderId="0" xfId="5"/>
    <xf numFmtId="0" fontId="12" fillId="0" borderId="0" xfId="5" applyFont="1"/>
    <xf numFmtId="0" fontId="11" fillId="0" borderId="0" xfId="5" applyFont="1" applyAlignment="1">
      <alignment wrapText="1"/>
    </xf>
    <xf numFmtId="0" fontId="11" fillId="0" borderId="0" xfId="5" applyFont="1"/>
    <xf numFmtId="0" fontId="12" fillId="0" borderId="0" xfId="5" applyFont="1" applyAlignment="1">
      <alignment horizontal="center" vertical="center"/>
    </xf>
    <xf numFmtId="0" fontId="11" fillId="0" borderId="0" xfId="5" applyFont="1" applyAlignment="1">
      <alignment horizontal="center" vertical="center" wrapText="1"/>
    </xf>
    <xf numFmtId="0" fontId="11" fillId="0" borderId="0" xfId="5" applyFont="1" applyAlignment="1">
      <alignment horizontal="center" vertical="center"/>
    </xf>
    <xf numFmtId="0" fontId="11" fillId="0" borderId="0" xfId="5" applyFont="1" applyAlignment="1">
      <alignment vertical="center" wrapText="1"/>
    </xf>
    <xf numFmtId="0" fontId="11" fillId="0" borderId="0" xfId="5" applyAlignment="1">
      <alignment horizontal="center" vertical="center"/>
    </xf>
    <xf numFmtId="0" fontId="13" fillId="0" borderId="0" xfId="5" applyFont="1" applyAlignment="1">
      <alignment horizontal="center" vertical="center"/>
    </xf>
    <xf numFmtId="0" fontId="15" fillId="0" borderId="0" xfId="5" applyFont="1" applyAlignment="1">
      <alignment horizontal="center" vertical="center"/>
    </xf>
    <xf numFmtId="2" fontId="15" fillId="0" borderId="0" xfId="5" applyNumberFormat="1" applyFont="1" applyAlignment="1">
      <alignment horizontal="center" vertical="center"/>
    </xf>
    <xf numFmtId="0" fontId="12" fillId="0" borderId="0" xfId="5" applyFont="1" applyAlignment="1">
      <alignment horizontal="center"/>
    </xf>
    <xf numFmtId="0" fontId="8" fillId="4" borderId="1" xfId="3" applyBorder="1" applyAlignment="1">
      <alignment horizontal="center"/>
    </xf>
    <xf numFmtId="0" fontId="8" fillId="4" borderId="7" xfId="3" applyBorder="1" applyAlignment="1">
      <alignment horizontal="center"/>
    </xf>
    <xf numFmtId="0" fontId="8" fillId="4" borderId="1" xfId="3" applyBorder="1" applyAlignment="1">
      <alignment horizontal="center" vertical="center"/>
    </xf>
    <xf numFmtId="0" fontId="8" fillId="4" borderId="6" xfId="3" applyBorder="1" applyAlignment="1">
      <alignment horizontal="center" vertical="center"/>
    </xf>
    <xf numFmtId="0" fontId="8" fillId="8" borderId="6" xfId="6" applyBorder="1" applyAlignment="1">
      <alignment horizontal="center"/>
    </xf>
    <xf numFmtId="0" fontId="8" fillId="8" borderId="8" xfId="6" applyBorder="1" applyAlignment="1">
      <alignment horizontal="center"/>
    </xf>
    <xf numFmtId="0" fontId="8" fillId="8" borderId="14" xfId="6" applyBorder="1" applyAlignment="1">
      <alignment horizontal="center"/>
    </xf>
    <xf numFmtId="0" fontId="5" fillId="9" borderId="1" xfId="7" applyBorder="1" applyAlignment="1">
      <alignment horizontal="center"/>
    </xf>
    <xf numFmtId="0" fontId="5" fillId="9" borderId="7" xfId="7" applyBorder="1" applyAlignment="1">
      <alignment horizontal="center"/>
    </xf>
    <xf numFmtId="0" fontId="5" fillId="9" borderId="9" xfId="7" applyBorder="1" applyAlignment="1">
      <alignment horizontal="center"/>
    </xf>
    <xf numFmtId="0" fontId="5" fillId="9" borderId="10" xfId="7" applyBorder="1" applyAlignment="1">
      <alignment horizontal="center"/>
    </xf>
    <xf numFmtId="0" fontId="5" fillId="9" borderId="15" xfId="7" applyBorder="1" applyAlignment="1">
      <alignment horizontal="center"/>
    </xf>
    <xf numFmtId="0" fontId="5" fillId="9" borderId="16" xfId="7" applyBorder="1" applyAlignment="1">
      <alignment horizontal="center"/>
    </xf>
    <xf numFmtId="164" fontId="8" fillId="8" borderId="1" xfId="6" applyNumberFormat="1" applyBorder="1"/>
    <xf numFmtId="164" fontId="8" fillId="8" borderId="9" xfId="6" applyNumberFormat="1" applyBorder="1"/>
    <xf numFmtId="164" fontId="8" fillId="8" borderId="0" xfId="6" applyNumberFormat="1"/>
    <xf numFmtId="0" fontId="18" fillId="0" borderId="0" xfId="8" applyFont="1" applyFill="1"/>
    <xf numFmtId="0" fontId="20" fillId="0" borderId="0" xfId="8" applyFont="1" applyBorder="1" applyAlignment="1">
      <alignment horizontal="center"/>
    </xf>
    <xf numFmtId="0" fontId="18" fillId="0" borderId="0" xfId="8" applyFont="1" applyFill="1" applyBorder="1"/>
    <xf numFmtId="0" fontId="18" fillId="0" borderId="21" xfId="8" applyFont="1" applyFill="1" applyBorder="1" applyAlignment="1">
      <alignment horizontal="right"/>
    </xf>
    <xf numFmtId="164" fontId="19" fillId="0" borderId="22" xfId="8" applyNumberFormat="1" applyFont="1" applyFill="1" applyBorder="1" applyAlignment="1">
      <alignment horizontal="center"/>
    </xf>
    <xf numFmtId="0" fontId="18" fillId="0" borderId="0" xfId="8" applyFont="1" applyFill="1" applyAlignment="1">
      <alignment horizontal="center"/>
    </xf>
    <xf numFmtId="0" fontId="18" fillId="0" borderId="23" xfId="8" applyFont="1" applyFill="1" applyBorder="1"/>
    <xf numFmtId="2" fontId="18" fillId="0" borderId="24" xfId="8" applyNumberFormat="1" applyFont="1" applyFill="1" applyBorder="1" applyAlignment="1">
      <alignment horizontal="center"/>
    </xf>
    <xf numFmtId="0" fontId="18" fillId="0" borderId="25" xfId="8" applyFont="1" applyFill="1" applyBorder="1"/>
    <xf numFmtId="0" fontId="18" fillId="0" borderId="26" xfId="8" applyFont="1" applyFill="1" applyBorder="1"/>
    <xf numFmtId="2" fontId="18" fillId="10" borderId="24" xfId="8" applyNumberFormat="1" applyFont="1" applyFill="1" applyBorder="1" applyAlignment="1">
      <alignment horizontal="center"/>
    </xf>
    <xf numFmtId="164" fontId="19" fillId="0" borderId="25" xfId="8" applyNumberFormat="1" applyFont="1" applyFill="1" applyBorder="1" applyAlignment="1">
      <alignment horizontal="center"/>
    </xf>
    <xf numFmtId="0" fontId="18" fillId="0" borderId="0" xfId="8" applyFont="1" applyFill="1" applyBorder="1" applyAlignment="1">
      <alignment horizontal="center"/>
    </xf>
    <xf numFmtId="0" fontId="18" fillId="0" borderId="27" xfId="8" applyFont="1" applyFill="1" applyBorder="1"/>
    <xf numFmtId="2" fontId="18" fillId="0" borderId="0" xfId="8" applyNumberFormat="1" applyFont="1" applyFill="1" applyAlignment="1">
      <alignment horizontal="left"/>
    </xf>
    <xf numFmtId="0" fontId="18" fillId="0" borderId="28" xfId="8" applyFont="1" applyFill="1" applyBorder="1" applyAlignment="1">
      <alignment horizontal="right"/>
    </xf>
    <xf numFmtId="2" fontId="18" fillId="10" borderId="1" xfId="8" applyNumberFormat="1" applyFont="1" applyFill="1" applyBorder="1" applyAlignment="1">
      <alignment horizontal="left"/>
    </xf>
    <xf numFmtId="0" fontId="18" fillId="0" borderId="29" xfId="8" applyFont="1" applyFill="1" applyBorder="1"/>
    <xf numFmtId="0" fontId="18" fillId="0" borderId="30" xfId="8" applyFont="1" applyFill="1" applyBorder="1"/>
    <xf numFmtId="164" fontId="18" fillId="0" borderId="31" xfId="8" applyNumberFormat="1" applyFont="1" applyFill="1" applyBorder="1" applyAlignment="1">
      <alignment horizontal="left"/>
    </xf>
    <xf numFmtId="0" fontId="18" fillId="0" borderId="0" xfId="8" applyFont="1" applyFill="1" applyBorder="1" applyAlignment="1">
      <alignment horizontal="left"/>
    </xf>
    <xf numFmtId="0" fontId="0" fillId="0" borderId="0" xfId="0" applyAlignment="1">
      <alignment wrapText="1"/>
    </xf>
    <xf numFmtId="0" fontId="19" fillId="0" borderId="18" xfId="8" applyFont="1" applyFill="1" applyBorder="1" applyAlignment="1">
      <alignment horizontal="center"/>
    </xf>
    <xf numFmtId="0" fontId="17" fillId="0" borderId="19" xfId="8" applyFont="1" applyBorder="1" applyAlignment="1">
      <alignment horizontal="center"/>
    </xf>
    <xf numFmtId="0" fontId="17" fillId="0" borderId="20" xfId="8" applyFont="1" applyBorder="1" applyAlignment="1">
      <alignment horizontal="center"/>
    </xf>
    <xf numFmtId="2" fontId="12" fillId="0" borderId="0" xfId="5" applyNumberFormat="1" applyFont="1" applyAlignment="1">
      <alignment horizontal="center"/>
    </xf>
    <xf numFmtId="2" fontId="21" fillId="0" borderId="0" xfId="5" applyNumberFormat="1" applyFont="1" applyAlignment="1">
      <alignment horizontal="center"/>
    </xf>
    <xf numFmtId="0" fontId="0" fillId="11" borderId="0" xfId="0" applyFill="1"/>
    <xf numFmtId="0" fontId="9" fillId="0" borderId="0" xfId="0" applyFont="1" applyFill="1" applyAlignment="1">
      <alignment wrapText="1"/>
    </xf>
    <xf numFmtId="1" fontId="0" fillId="0" borderId="0" xfId="0" applyNumberFormat="1" applyFill="1"/>
    <xf numFmtId="164" fontId="6" fillId="0" borderId="2" xfId="2" applyNumberFormat="1" applyFill="1"/>
    <xf numFmtId="0" fontId="8" fillId="4" borderId="1" xfId="3" applyBorder="1" applyAlignment="1">
      <alignment horizontal="center"/>
    </xf>
    <xf numFmtId="0" fontId="8" fillId="4" borderId="7" xfId="3" applyBorder="1" applyAlignment="1">
      <alignment horizontal="center"/>
    </xf>
    <xf numFmtId="0" fontId="8" fillId="4" borderId="32" xfId="3" applyBorder="1" applyAlignment="1">
      <alignment horizontal="center"/>
    </xf>
    <xf numFmtId="0" fontId="8" fillId="4" borderId="33" xfId="3" applyBorder="1" applyAlignment="1">
      <alignment horizontal="center"/>
    </xf>
    <xf numFmtId="0" fontId="8" fillId="4" borderId="31" xfId="3" applyBorder="1" applyAlignment="1">
      <alignment horizontal="center"/>
    </xf>
    <xf numFmtId="0" fontId="8" fillId="4" borderId="34" xfId="3" applyBorder="1" applyAlignment="1">
      <alignment horizontal="center"/>
    </xf>
    <xf numFmtId="0" fontId="8" fillId="4" borderId="35" xfId="3" applyBorder="1" applyAlignment="1">
      <alignment horizontal="center"/>
    </xf>
    <xf numFmtId="0" fontId="8" fillId="4" borderId="36" xfId="3" applyBorder="1" applyAlignment="1">
      <alignment horizontal="center"/>
    </xf>
    <xf numFmtId="0" fontId="0" fillId="0" borderId="0" xfId="0" applyAlignment="1">
      <alignment horizontal="center"/>
    </xf>
    <xf numFmtId="0" fontId="8" fillId="4" borderId="12" xfId="3" applyBorder="1" applyAlignment="1">
      <alignment horizontal="center" vertical="center"/>
    </xf>
    <xf numFmtId="0" fontId="8" fillId="4" borderId="13" xfId="3" applyBorder="1" applyAlignment="1">
      <alignment horizontal="center" vertical="center"/>
    </xf>
    <xf numFmtId="0" fontId="8" fillId="4" borderId="11" xfId="3" applyBorder="1" applyAlignment="1">
      <alignment horizontal="center" vertical="center"/>
    </xf>
    <xf numFmtId="0" fontId="8" fillId="4" borderId="17" xfId="3" applyBorder="1" applyAlignment="1">
      <alignment horizontal="center" vertical="center"/>
    </xf>
    <xf numFmtId="0" fontId="8" fillId="4" borderId="4" xfId="3" applyBorder="1" applyAlignment="1">
      <alignment horizontal="center" vertical="center"/>
    </xf>
    <xf numFmtId="0" fontId="8" fillId="4" borderId="6" xfId="3" applyBorder="1" applyAlignment="1">
      <alignment horizontal="center" vertical="center"/>
    </xf>
    <xf numFmtId="0" fontId="8" fillId="4" borderId="1" xfId="3" applyBorder="1" applyAlignment="1">
      <alignment horizontal="center" vertical="center"/>
    </xf>
  </cellXfs>
  <cellStyles count="9">
    <cellStyle name="40% - Accent6" xfId="7" builtinId="51"/>
    <cellStyle name="60% - Accent2" xfId="6" builtinId="36"/>
    <cellStyle name="60% - Accent5" xfId="3" builtinId="48"/>
    <cellStyle name="Calculation" xfId="2" builtinId="22"/>
    <cellStyle name="Comma" xfId="1" builtinId="3"/>
    <cellStyle name="Good" xfId="4" builtinId="26"/>
    <cellStyle name="Normal" xfId="0" builtinId="0"/>
    <cellStyle name="Normal 2" xfId="5"/>
    <cellStyle name="Normal 4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worksheet" Target="worksheets/sheet10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8.xml"/><Relationship Id="rId14" Type="http://schemas.openxmlformats.org/officeDocument/2006/relationships/theme" Target="theme/them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19233508613547E-2"/>
          <c:y val="7.4611094271384695E-2"/>
          <c:w val="0.89265760485869239"/>
          <c:h val="0.76358906423118789"/>
        </c:manualLayout>
      </c:layout>
      <c:scatterChart>
        <c:scatterStyle val="smoothMarker"/>
        <c:varyColors val="0"/>
        <c:ser>
          <c:idx val="0"/>
          <c:order val="0"/>
          <c:tx>
            <c:v>System Curve Min Operating Level</c:v>
          </c:tx>
          <c:xVal>
            <c:numRef>
              <c:f>'BWR Sys Curve - Existing'!$R$9:$R$50</c:f>
              <c:numCache>
                <c:formatCode>General</c:formatCode>
                <c:ptCount val="42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  <c:pt idx="20">
                  <c:v>10000</c:v>
                </c:pt>
                <c:pt idx="21">
                  <c:v>10500</c:v>
                </c:pt>
                <c:pt idx="22">
                  <c:v>10800</c:v>
                </c:pt>
                <c:pt idx="23">
                  <c:v>11000</c:v>
                </c:pt>
                <c:pt idx="24">
                  <c:v>11500</c:v>
                </c:pt>
                <c:pt idx="25">
                  <c:v>12000</c:v>
                </c:pt>
                <c:pt idx="26">
                  <c:v>12500</c:v>
                </c:pt>
                <c:pt idx="27">
                  <c:v>13000</c:v>
                </c:pt>
                <c:pt idx="28">
                  <c:v>13500</c:v>
                </c:pt>
                <c:pt idx="29">
                  <c:v>14000</c:v>
                </c:pt>
                <c:pt idx="30">
                  <c:v>14500</c:v>
                </c:pt>
                <c:pt idx="31">
                  <c:v>15000</c:v>
                </c:pt>
                <c:pt idx="32">
                  <c:v>15500</c:v>
                </c:pt>
                <c:pt idx="33">
                  <c:v>16000</c:v>
                </c:pt>
                <c:pt idx="34">
                  <c:v>16500</c:v>
                </c:pt>
                <c:pt idx="35">
                  <c:v>17000</c:v>
                </c:pt>
                <c:pt idx="36">
                  <c:v>17500</c:v>
                </c:pt>
                <c:pt idx="37">
                  <c:v>18000</c:v>
                </c:pt>
                <c:pt idx="38">
                  <c:v>18500</c:v>
                </c:pt>
                <c:pt idx="39">
                  <c:v>19000</c:v>
                </c:pt>
                <c:pt idx="40">
                  <c:v>19500</c:v>
                </c:pt>
                <c:pt idx="41">
                  <c:v>20000</c:v>
                </c:pt>
              </c:numCache>
            </c:numRef>
          </c:xVal>
          <c:yVal>
            <c:numRef>
              <c:f>'BWR Sys Curve - Existing'!$AN$9:$AN$50</c:f>
              <c:numCache>
                <c:formatCode>0.0</c:formatCode>
                <c:ptCount val="42"/>
                <c:pt idx="0">
                  <c:v>20.090000000000146</c:v>
                </c:pt>
                <c:pt idx="1">
                  <c:v>20.282241644203985</c:v>
                </c:pt>
                <c:pt idx="2">
                  <c:v>20.791127771788652</c:v>
                </c:pt>
                <c:pt idx="3">
                  <c:v>21.585336699696715</c:v>
                </c:pt>
                <c:pt idx="4">
                  <c:v>22.649952069500511</c:v>
                </c:pt>
                <c:pt idx="5">
                  <c:v>23.975125142475299</c:v>
                </c:pt>
                <c:pt idx="6">
                  <c:v>25.553558167754666</c:v>
                </c:pt>
                <c:pt idx="7">
                  <c:v>27.379487876148019</c:v>
                </c:pt>
                <c:pt idx="8">
                  <c:v>29.44817256681754</c:v>
                </c:pt>
                <c:pt idx="9">
                  <c:v>31.755597525187856</c:v>
                </c:pt>
                <c:pt idx="10">
                  <c:v>34.298290545361908</c:v>
                </c:pt>
                <c:pt idx="11">
                  <c:v>37.073198960839321</c:v>
                </c:pt>
                <c:pt idx="12">
                  <c:v>40.077603698010265</c:v>
                </c:pt>
                <c:pt idx="13">
                  <c:v>43.309056924183274</c:v>
                </c:pt>
                <c:pt idx="14">
                  <c:v>46.765335428665907</c:v>
                </c:pt>
                <c:pt idx="15">
                  <c:v>50.444404888315702</c:v>
                </c:pt>
                <c:pt idx="16">
                  <c:v>54.344391897034271</c:v>
                </c:pt>
                <c:pt idx="17">
                  <c:v>58.463561678179261</c:v>
                </c:pt>
                <c:pt idx="18">
                  <c:v>62.800300049642161</c:v>
                </c:pt>
                <c:pt idx="19">
                  <c:v>67.353098632820604</c:v>
                </c:pt>
                <c:pt idx="20">
                  <c:v>72.12054257780548</c:v>
                </c:pt>
                <c:pt idx="21">
                  <c:v>77.10130026940061</c:v>
                </c:pt>
                <c:pt idx="22">
                  <c:v>80.19161966193154</c:v>
                </c:pt>
                <c:pt idx="23">
                  <c:v>82.294114613141659</c:v>
                </c:pt>
                <c:pt idx="24">
                  <c:v>87.697795596504292</c:v>
                </c:pt>
                <c:pt idx="25">
                  <c:v>93.311213890255701</c:v>
                </c:pt>
                <c:pt idx="26">
                  <c:v>99.133295306403483</c:v>
                </c:pt>
                <c:pt idx="27">
                  <c:v>105.1630159677654</c:v>
                </c:pt>
                <c:pt idx="28">
                  <c:v>111.39939807344943</c:v>
                </c:pt>
                <c:pt idx="29">
                  <c:v>117.84150616701045</c:v>
                </c:pt>
                <c:pt idx="30">
                  <c:v>124.48844383149816</c:v>
                </c:pt>
                <c:pt idx="31">
                  <c:v>131.33935074929818</c:v>
                </c:pt>
                <c:pt idx="32">
                  <c:v>138.39340007549993</c:v>
                </c:pt>
                <c:pt idx="33">
                  <c:v>145.64979608217686</c:v>
                </c:pt>
                <c:pt idx="34">
                  <c:v>153.10777203792304</c:v>
                </c:pt>
                <c:pt idx="35">
                  <c:v>160.7665882926409</c:v>
                </c:pt>
                <c:pt idx="36">
                  <c:v>168.62553054217753</c:v>
                </c:pt>
                <c:pt idx="37">
                  <c:v>176.68390825120167</c:v>
                </c:pt>
                <c:pt idx="38">
                  <c:v>184.94105321584149</c:v>
                </c:pt>
                <c:pt idx="39">
                  <c:v>193.39631825020768</c:v>
                </c:pt>
                <c:pt idx="40">
                  <c:v>202.04907598311368</c:v>
                </c:pt>
                <c:pt idx="41">
                  <c:v>210.89871775311778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7D-4970-932A-ACFB127B9719}"/>
            </c:ext>
          </c:extLst>
        </c:ser>
        <c:ser>
          <c:idx val="1"/>
          <c:order val="1"/>
          <c:tx>
            <c:v>System Curve Max. Operating Level</c:v>
          </c:tx>
          <c:xVal>
            <c:numRef>
              <c:f>'BWR Sys Curve - Existing'!$R$9:$R$50</c:f>
              <c:numCache>
                <c:formatCode>General</c:formatCode>
                <c:ptCount val="42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  <c:pt idx="20">
                  <c:v>10000</c:v>
                </c:pt>
                <c:pt idx="21">
                  <c:v>10500</c:v>
                </c:pt>
                <c:pt idx="22">
                  <c:v>10800</c:v>
                </c:pt>
                <c:pt idx="23">
                  <c:v>11000</c:v>
                </c:pt>
                <c:pt idx="24">
                  <c:v>11500</c:v>
                </c:pt>
                <c:pt idx="25">
                  <c:v>12000</c:v>
                </c:pt>
                <c:pt idx="26">
                  <c:v>12500</c:v>
                </c:pt>
                <c:pt idx="27">
                  <c:v>13000</c:v>
                </c:pt>
                <c:pt idx="28">
                  <c:v>13500</c:v>
                </c:pt>
                <c:pt idx="29">
                  <c:v>14000</c:v>
                </c:pt>
                <c:pt idx="30">
                  <c:v>14500</c:v>
                </c:pt>
                <c:pt idx="31">
                  <c:v>15000</c:v>
                </c:pt>
                <c:pt idx="32">
                  <c:v>15500</c:v>
                </c:pt>
                <c:pt idx="33">
                  <c:v>16000</c:v>
                </c:pt>
                <c:pt idx="34">
                  <c:v>16500</c:v>
                </c:pt>
                <c:pt idx="35">
                  <c:v>17000</c:v>
                </c:pt>
                <c:pt idx="36">
                  <c:v>17500</c:v>
                </c:pt>
                <c:pt idx="37">
                  <c:v>18000</c:v>
                </c:pt>
                <c:pt idx="38">
                  <c:v>18500</c:v>
                </c:pt>
                <c:pt idx="39">
                  <c:v>19000</c:v>
                </c:pt>
                <c:pt idx="40">
                  <c:v>19500</c:v>
                </c:pt>
                <c:pt idx="41">
                  <c:v>20000</c:v>
                </c:pt>
              </c:numCache>
            </c:numRef>
          </c:xVal>
          <c:yVal>
            <c:numRef>
              <c:f>'BWR Sys Curve - Existing'!$AO$9:$AO$50</c:f>
              <c:numCache>
                <c:formatCode>0.0</c:formatCode>
                <c:ptCount val="42"/>
                <c:pt idx="0">
                  <c:v>10.059999999999491</c:v>
                </c:pt>
                <c:pt idx="1">
                  <c:v>10.25224164420333</c:v>
                </c:pt>
                <c:pt idx="2">
                  <c:v>10.761127771787999</c:v>
                </c:pt>
                <c:pt idx="3">
                  <c:v>11.55533669969606</c:v>
                </c:pt>
                <c:pt idx="4">
                  <c:v>12.619952069499856</c:v>
                </c:pt>
                <c:pt idx="5">
                  <c:v>13.945125142474645</c:v>
                </c:pt>
                <c:pt idx="6">
                  <c:v>15.523558167754011</c:v>
                </c:pt>
                <c:pt idx="7">
                  <c:v>17.349487876147364</c:v>
                </c:pt>
                <c:pt idx="8">
                  <c:v>19.418172566816885</c:v>
                </c:pt>
                <c:pt idx="9">
                  <c:v>21.725597525187201</c:v>
                </c:pt>
                <c:pt idx="10">
                  <c:v>24.268290545361253</c:v>
                </c:pt>
                <c:pt idx="11">
                  <c:v>27.043198960838666</c:v>
                </c:pt>
                <c:pt idx="12">
                  <c:v>30.04760369800961</c:v>
                </c:pt>
                <c:pt idx="13">
                  <c:v>33.279056924182619</c:v>
                </c:pt>
                <c:pt idx="14">
                  <c:v>36.735335428665252</c:v>
                </c:pt>
                <c:pt idx="15">
                  <c:v>40.414404888315048</c:v>
                </c:pt>
                <c:pt idx="16">
                  <c:v>44.314391897033616</c:v>
                </c:pt>
                <c:pt idx="17">
                  <c:v>48.433561678178606</c:v>
                </c:pt>
                <c:pt idx="18">
                  <c:v>52.770300049641506</c:v>
                </c:pt>
                <c:pt idx="19">
                  <c:v>57.323098632819949</c:v>
                </c:pt>
                <c:pt idx="20">
                  <c:v>62.090542577804825</c:v>
                </c:pt>
                <c:pt idx="21">
                  <c:v>67.071300269399956</c:v>
                </c:pt>
                <c:pt idx="22">
                  <c:v>70.161619661930885</c:v>
                </c:pt>
                <c:pt idx="23">
                  <c:v>72.264114613141004</c:v>
                </c:pt>
                <c:pt idx="24">
                  <c:v>77.667795596503638</c:v>
                </c:pt>
                <c:pt idx="25">
                  <c:v>83.281213890255046</c:v>
                </c:pt>
                <c:pt idx="26">
                  <c:v>89.103295306402828</c:v>
                </c:pt>
                <c:pt idx="27">
                  <c:v>95.133015967764749</c:v>
                </c:pt>
                <c:pt idx="28">
                  <c:v>101.36939807344878</c:v>
                </c:pt>
                <c:pt idx="29">
                  <c:v>107.8115061670098</c:v>
                </c:pt>
                <c:pt idx="30">
                  <c:v>114.4584438314975</c:v>
                </c:pt>
                <c:pt idx="31">
                  <c:v>121.30935074929752</c:v>
                </c:pt>
                <c:pt idx="32">
                  <c:v>128.36340007549927</c:v>
                </c:pt>
                <c:pt idx="33">
                  <c:v>135.61979608217621</c:v>
                </c:pt>
                <c:pt idx="34">
                  <c:v>143.07777203792239</c:v>
                </c:pt>
                <c:pt idx="35">
                  <c:v>150.73658829264025</c:v>
                </c:pt>
                <c:pt idx="36">
                  <c:v>158.59553054217687</c:v>
                </c:pt>
                <c:pt idx="37">
                  <c:v>166.65390825120102</c:v>
                </c:pt>
                <c:pt idx="38">
                  <c:v>174.91105321584084</c:v>
                </c:pt>
                <c:pt idx="39">
                  <c:v>183.36631825020703</c:v>
                </c:pt>
                <c:pt idx="40">
                  <c:v>192.01907598311303</c:v>
                </c:pt>
                <c:pt idx="41">
                  <c:v>200.86871775311712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7D-4970-932A-ACFB127B9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138064"/>
        <c:axId val="732149040"/>
      </c:scatterChart>
      <c:valAx>
        <c:axId val="732138064"/>
        <c:scaling>
          <c:orientation val="minMax"/>
        </c:scaling>
        <c:delete val="0"/>
        <c:axPos val="b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(GPM)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32149040"/>
        <c:crosses val="autoZero"/>
        <c:crossBetween val="midCat"/>
      </c:valAx>
      <c:valAx>
        <c:axId val="73214904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TDH (ft)</a:t>
                </a:r>
              </a:p>
            </c:rich>
          </c:tx>
          <c:layout/>
          <c:overlay val="0"/>
        </c:title>
        <c:numFmt formatCode="General" sourceLinked="0"/>
        <c:majorTickMark val="in"/>
        <c:minorTickMark val="none"/>
        <c:tickLblPos val="nextTo"/>
        <c:crossAx val="732138064"/>
        <c:crosses val="autoZero"/>
        <c:crossBetween val="midCat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19233508613547E-2"/>
          <c:y val="7.4611094271384695E-2"/>
          <c:w val="0.89265760485869239"/>
          <c:h val="0.76358906423118789"/>
        </c:manualLayout>
      </c:layout>
      <c:scatterChart>
        <c:scatterStyle val="smoothMarker"/>
        <c:varyColors val="0"/>
        <c:ser>
          <c:idx val="0"/>
          <c:order val="0"/>
          <c:tx>
            <c:v>System Curve Min Operating Level</c:v>
          </c:tx>
          <c:xVal>
            <c:numRef>
              <c:f>'BWR Sys Curve - Rep w 24" IPS'!$U$9:$U$50</c:f>
              <c:numCache>
                <c:formatCode>General</c:formatCode>
                <c:ptCount val="42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  <c:pt idx="20">
                  <c:v>10275</c:v>
                </c:pt>
                <c:pt idx="21">
                  <c:v>10500</c:v>
                </c:pt>
                <c:pt idx="22">
                  <c:v>10800</c:v>
                </c:pt>
                <c:pt idx="23">
                  <c:v>11000</c:v>
                </c:pt>
                <c:pt idx="24">
                  <c:v>11500</c:v>
                </c:pt>
                <c:pt idx="25">
                  <c:v>12000</c:v>
                </c:pt>
                <c:pt idx="26">
                  <c:v>12500</c:v>
                </c:pt>
                <c:pt idx="27">
                  <c:v>13000</c:v>
                </c:pt>
                <c:pt idx="28">
                  <c:v>13500</c:v>
                </c:pt>
                <c:pt idx="29">
                  <c:v>14000</c:v>
                </c:pt>
                <c:pt idx="30">
                  <c:v>14500</c:v>
                </c:pt>
                <c:pt idx="31">
                  <c:v>15000</c:v>
                </c:pt>
                <c:pt idx="32">
                  <c:v>15500</c:v>
                </c:pt>
                <c:pt idx="33">
                  <c:v>16000</c:v>
                </c:pt>
                <c:pt idx="34">
                  <c:v>16500</c:v>
                </c:pt>
                <c:pt idx="35">
                  <c:v>17000</c:v>
                </c:pt>
                <c:pt idx="36">
                  <c:v>17500</c:v>
                </c:pt>
                <c:pt idx="37">
                  <c:v>18000</c:v>
                </c:pt>
                <c:pt idx="38">
                  <c:v>18500</c:v>
                </c:pt>
                <c:pt idx="39">
                  <c:v>19000</c:v>
                </c:pt>
                <c:pt idx="40">
                  <c:v>19500</c:v>
                </c:pt>
                <c:pt idx="41">
                  <c:v>20000</c:v>
                </c:pt>
              </c:numCache>
            </c:numRef>
          </c:xVal>
          <c:yVal>
            <c:numRef>
              <c:f>'BWR Sys Curve - Rep w 24" IPS'!$AU$9:$AU$50</c:f>
              <c:numCache>
                <c:formatCode>0.0</c:formatCode>
                <c:ptCount val="42"/>
                <c:pt idx="0">
                  <c:v>20.090000000000146</c:v>
                </c:pt>
                <c:pt idx="1">
                  <c:v>20.189755308995593</c:v>
                </c:pt>
                <c:pt idx="2">
                  <c:v>20.459734280226915</c:v>
                </c:pt>
                <c:pt idx="3">
                  <c:v>20.886414907439541</c:v>
                </c:pt>
                <c:pt idx="4">
                  <c:v>21.463357591216536</c:v>
                </c:pt>
                <c:pt idx="5">
                  <c:v>22.186310494056336</c:v>
                </c:pt>
                <c:pt idx="6">
                  <c:v>23.052123075399575</c:v>
                </c:pt>
                <c:pt idx="7">
                  <c:v>24.058307251770692</c:v>
                </c:pt>
                <c:pt idx="8">
                  <c:v>25.20281596496185</c:v>
                </c:pt>
                <c:pt idx="9">
                  <c:v>26.483916006846933</c:v>
                </c:pt>
                <c:pt idx="10">
                  <c:v>27.900108377842454</c:v>
                </c:pt>
                <c:pt idx="11">
                  <c:v>29.450075199358189</c:v>
                </c:pt>
                <c:pt idx="12">
                  <c:v>31.132642609494972</c:v>
                </c:pt>
                <c:pt idx="13">
                  <c:v>32.946753844831029</c:v>
                </c:pt>
                <c:pt idx="14">
                  <c:v>34.891449114385971</c:v>
                </c:pt>
                <c:pt idx="15">
                  <c:v>36.96585017256217</c:v>
                </c:pt>
                <c:pt idx="16">
                  <c:v>39.169148243888195</c:v>
                </c:pt>
                <c:pt idx="17">
                  <c:v>41.500594401157144</c:v>
                </c:pt>
                <c:pt idx="18">
                  <c:v>43.959491779499785</c:v>
                </c:pt>
                <c:pt idx="19">
                  <c:v>46.545189190892287</c:v>
                </c:pt>
                <c:pt idx="20">
                  <c:v>50.802191993124978</c:v>
                </c:pt>
                <c:pt idx="21">
                  <c:v>52.094576804865788</c:v>
                </c:pt>
                <c:pt idx="22">
                  <c:v>53.857145274676469</c:v>
                </c:pt>
                <c:pt idx="23">
                  <c:v>55.057149425477959</c:v>
                </c:pt>
                <c:pt idx="24">
                  <c:v>58.144279941825332</c:v>
                </c:pt>
                <c:pt idx="25">
                  <c:v>61.355480806769386</c:v>
                </c:pt>
                <c:pt idx="26">
                  <c:v>64.690288278412098</c:v>
                </c:pt>
                <c:pt idx="27">
                  <c:v>68.148260334731859</c:v>
                </c:pt>
                <c:pt idx="28">
                  <c:v>71.728974845482696</c:v>
                </c:pt>
                <c:pt idx="29">
                  <c:v>75.432027961105135</c:v>
                </c:pt>
                <c:pt idx="30">
                  <c:v>79.257032685932643</c:v>
                </c:pt>
                <c:pt idx="31">
                  <c:v>83.203617608884386</c:v>
                </c:pt>
                <c:pt idx="32">
                  <c:v>87.271425769511239</c:v>
                </c:pt>
                <c:pt idx="33">
                  <c:v>91.460113640998742</c:v>
                </c:pt>
                <c:pt idx="34">
                  <c:v>95.769350214733976</c:v>
                </c:pt>
                <c:pt idx="35">
                  <c:v>100.19881617348145</c:v>
                </c:pt>
                <c:pt idx="36">
                  <c:v>104.74820314220253</c:v>
                </c:pt>
                <c:pt idx="37">
                  <c:v>109.4172130071893</c:v>
                </c:pt>
                <c:pt idx="38">
                  <c:v>114.20555729553566</c:v>
                </c:pt>
                <c:pt idx="39">
                  <c:v>119.11295660809141</c:v>
                </c:pt>
                <c:pt idx="40">
                  <c:v>124.1391400999884</c:v>
                </c:pt>
                <c:pt idx="41">
                  <c:v>129.2838450036156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FB5-4C45-9C4C-0010A67D4905}"/>
            </c:ext>
          </c:extLst>
        </c:ser>
        <c:ser>
          <c:idx val="1"/>
          <c:order val="1"/>
          <c:tx>
            <c:v>System Curve Max. Operating Level</c:v>
          </c:tx>
          <c:xVal>
            <c:numRef>
              <c:f>'BWR Sys Curve - Rep w 24" IPS'!$U$9:$U$50</c:f>
              <c:numCache>
                <c:formatCode>General</c:formatCode>
                <c:ptCount val="42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  <c:pt idx="20">
                  <c:v>10275</c:v>
                </c:pt>
                <c:pt idx="21">
                  <c:v>10500</c:v>
                </c:pt>
                <c:pt idx="22">
                  <c:v>10800</c:v>
                </c:pt>
                <c:pt idx="23">
                  <c:v>11000</c:v>
                </c:pt>
                <c:pt idx="24">
                  <c:v>11500</c:v>
                </c:pt>
                <c:pt idx="25">
                  <c:v>12000</c:v>
                </c:pt>
                <c:pt idx="26">
                  <c:v>12500</c:v>
                </c:pt>
                <c:pt idx="27">
                  <c:v>13000</c:v>
                </c:pt>
                <c:pt idx="28">
                  <c:v>13500</c:v>
                </c:pt>
                <c:pt idx="29">
                  <c:v>14000</c:v>
                </c:pt>
                <c:pt idx="30">
                  <c:v>14500</c:v>
                </c:pt>
                <c:pt idx="31">
                  <c:v>15000</c:v>
                </c:pt>
                <c:pt idx="32">
                  <c:v>15500</c:v>
                </c:pt>
                <c:pt idx="33">
                  <c:v>16000</c:v>
                </c:pt>
                <c:pt idx="34">
                  <c:v>16500</c:v>
                </c:pt>
                <c:pt idx="35">
                  <c:v>17000</c:v>
                </c:pt>
                <c:pt idx="36">
                  <c:v>17500</c:v>
                </c:pt>
                <c:pt idx="37">
                  <c:v>18000</c:v>
                </c:pt>
                <c:pt idx="38">
                  <c:v>18500</c:v>
                </c:pt>
                <c:pt idx="39">
                  <c:v>19000</c:v>
                </c:pt>
                <c:pt idx="40">
                  <c:v>19500</c:v>
                </c:pt>
                <c:pt idx="41">
                  <c:v>20000</c:v>
                </c:pt>
              </c:numCache>
            </c:numRef>
          </c:xVal>
          <c:yVal>
            <c:numRef>
              <c:f>'BWR Sys Curve - Rep w 24" IPS'!$AV$9:$AV$50</c:f>
              <c:numCache>
                <c:formatCode>0.0</c:formatCode>
                <c:ptCount val="42"/>
                <c:pt idx="0">
                  <c:v>10.059999999999491</c:v>
                </c:pt>
                <c:pt idx="1">
                  <c:v>10.159755308994937</c:v>
                </c:pt>
                <c:pt idx="2">
                  <c:v>10.42973428022626</c:v>
                </c:pt>
                <c:pt idx="3">
                  <c:v>10.856414907438888</c:v>
                </c:pt>
                <c:pt idx="4">
                  <c:v>11.433357591215881</c:v>
                </c:pt>
                <c:pt idx="5">
                  <c:v>12.156310494055679</c:v>
                </c:pt>
                <c:pt idx="6">
                  <c:v>13.02212307539892</c:v>
                </c:pt>
                <c:pt idx="7">
                  <c:v>14.028307251770038</c:v>
                </c:pt>
                <c:pt idx="8">
                  <c:v>15.172815964961195</c:v>
                </c:pt>
                <c:pt idx="9">
                  <c:v>16.453916006846278</c:v>
                </c:pt>
                <c:pt idx="10">
                  <c:v>17.870108377841799</c:v>
                </c:pt>
                <c:pt idx="11">
                  <c:v>19.420075199357534</c:v>
                </c:pt>
                <c:pt idx="12">
                  <c:v>21.102642609494318</c:v>
                </c:pt>
                <c:pt idx="13">
                  <c:v>22.916753844830374</c:v>
                </c:pt>
                <c:pt idx="14">
                  <c:v>24.861449114385316</c:v>
                </c:pt>
                <c:pt idx="15">
                  <c:v>26.935850172561512</c:v>
                </c:pt>
                <c:pt idx="16">
                  <c:v>29.13914824388754</c:v>
                </c:pt>
                <c:pt idx="17">
                  <c:v>31.47059440115649</c:v>
                </c:pt>
                <c:pt idx="18">
                  <c:v>33.929491779499131</c:v>
                </c:pt>
                <c:pt idx="19">
                  <c:v>36.515189190891633</c:v>
                </c:pt>
                <c:pt idx="20">
                  <c:v>40.772191993124324</c:v>
                </c:pt>
                <c:pt idx="21">
                  <c:v>42.064576804865133</c:v>
                </c:pt>
                <c:pt idx="22">
                  <c:v>43.827145274675814</c:v>
                </c:pt>
                <c:pt idx="23">
                  <c:v>45.027149425477305</c:v>
                </c:pt>
                <c:pt idx="24">
                  <c:v>48.114279941824677</c:v>
                </c:pt>
                <c:pt idx="25">
                  <c:v>51.325480806768731</c:v>
                </c:pt>
                <c:pt idx="26">
                  <c:v>54.660288278411443</c:v>
                </c:pt>
                <c:pt idx="27">
                  <c:v>58.118260334731204</c:v>
                </c:pt>
                <c:pt idx="28">
                  <c:v>61.698974845482041</c:v>
                </c:pt>
                <c:pt idx="29">
                  <c:v>65.40202796110448</c:v>
                </c:pt>
                <c:pt idx="30">
                  <c:v>69.227032685931988</c:v>
                </c:pt>
                <c:pt idx="31">
                  <c:v>73.173617608883731</c:v>
                </c:pt>
                <c:pt idx="32">
                  <c:v>77.241425769510585</c:v>
                </c:pt>
                <c:pt idx="33">
                  <c:v>81.430113640998087</c:v>
                </c:pt>
                <c:pt idx="34">
                  <c:v>85.739350214733321</c:v>
                </c:pt>
                <c:pt idx="35">
                  <c:v>90.168816173480792</c:v>
                </c:pt>
                <c:pt idx="36">
                  <c:v>94.718203142201872</c:v>
                </c:pt>
                <c:pt idx="37">
                  <c:v>99.387213007188649</c:v>
                </c:pt>
                <c:pt idx="38">
                  <c:v>104.175557295535</c:v>
                </c:pt>
                <c:pt idx="39">
                  <c:v>109.08295660809075</c:v>
                </c:pt>
                <c:pt idx="40">
                  <c:v>114.10914009998774</c:v>
                </c:pt>
                <c:pt idx="41">
                  <c:v>119.25384500361494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FB5-4C45-9C4C-0010A67D4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153744"/>
        <c:axId val="732155704"/>
      </c:scatterChart>
      <c:valAx>
        <c:axId val="732153744"/>
        <c:scaling>
          <c:orientation val="minMax"/>
        </c:scaling>
        <c:delete val="0"/>
        <c:axPos val="b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(GPM)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32155704"/>
        <c:crosses val="autoZero"/>
        <c:crossBetween val="midCat"/>
      </c:valAx>
      <c:valAx>
        <c:axId val="732155704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TDH (ft)</a:t>
                </a:r>
              </a:p>
            </c:rich>
          </c:tx>
          <c:layout/>
          <c:overlay val="0"/>
        </c:title>
        <c:numFmt formatCode="General" sourceLinked="0"/>
        <c:majorTickMark val="in"/>
        <c:minorTickMark val="none"/>
        <c:tickLblPos val="nextTo"/>
        <c:crossAx val="732153744"/>
        <c:crosses val="autoZero"/>
        <c:crossBetween val="midCat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19233508613547E-2"/>
          <c:y val="7.4611094271384695E-2"/>
          <c:w val="0.89265760485869239"/>
          <c:h val="0.76358906423118789"/>
        </c:manualLayout>
      </c:layout>
      <c:scatterChart>
        <c:scatterStyle val="smoothMarker"/>
        <c:varyColors val="0"/>
        <c:ser>
          <c:idx val="0"/>
          <c:order val="0"/>
          <c:tx>
            <c:v>System Curve Min Operating Level</c:v>
          </c:tx>
          <c:xVal>
            <c:numRef>
              <c:f>'BWR Sys Curve - Rep w 24" DIPS'!$U$9:$U$50</c:f>
              <c:numCache>
                <c:formatCode>General</c:formatCode>
                <c:ptCount val="42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  <c:pt idx="20">
                  <c:v>10000</c:v>
                </c:pt>
                <c:pt idx="21">
                  <c:v>10600</c:v>
                </c:pt>
                <c:pt idx="22">
                  <c:v>10800</c:v>
                </c:pt>
                <c:pt idx="23">
                  <c:v>11000</c:v>
                </c:pt>
                <c:pt idx="24">
                  <c:v>11500</c:v>
                </c:pt>
                <c:pt idx="25">
                  <c:v>12000</c:v>
                </c:pt>
                <c:pt idx="26">
                  <c:v>12500</c:v>
                </c:pt>
                <c:pt idx="27">
                  <c:v>13000</c:v>
                </c:pt>
                <c:pt idx="28">
                  <c:v>13500</c:v>
                </c:pt>
                <c:pt idx="29">
                  <c:v>14000</c:v>
                </c:pt>
                <c:pt idx="30">
                  <c:v>14500</c:v>
                </c:pt>
                <c:pt idx="31">
                  <c:v>15000</c:v>
                </c:pt>
                <c:pt idx="32">
                  <c:v>15500</c:v>
                </c:pt>
                <c:pt idx="33">
                  <c:v>16000</c:v>
                </c:pt>
                <c:pt idx="34">
                  <c:v>16500</c:v>
                </c:pt>
                <c:pt idx="35">
                  <c:v>17000</c:v>
                </c:pt>
                <c:pt idx="36">
                  <c:v>17500</c:v>
                </c:pt>
                <c:pt idx="37">
                  <c:v>18000</c:v>
                </c:pt>
                <c:pt idx="38">
                  <c:v>18500</c:v>
                </c:pt>
                <c:pt idx="39">
                  <c:v>19000</c:v>
                </c:pt>
                <c:pt idx="40">
                  <c:v>19500</c:v>
                </c:pt>
                <c:pt idx="41">
                  <c:v>20000</c:v>
                </c:pt>
              </c:numCache>
            </c:numRef>
          </c:xVal>
          <c:yVal>
            <c:numRef>
              <c:f>'BWR Sys Curve - Rep w 24" DIPS'!$AU$9:$AU$50</c:f>
              <c:numCache>
                <c:formatCode>0.0</c:formatCode>
                <c:ptCount val="42"/>
                <c:pt idx="0">
                  <c:v>20.090000000000146</c:v>
                </c:pt>
                <c:pt idx="1">
                  <c:v>20.157389013452249</c:v>
                </c:pt>
                <c:pt idx="2">
                  <c:v>20.34256835722725</c:v>
                </c:pt>
                <c:pt idx="3">
                  <c:v>20.637694684910301</c:v>
                </c:pt>
                <c:pt idx="4">
                  <c:v>21.039032751298201</c:v>
                </c:pt>
                <c:pt idx="5">
                  <c:v>21.544116307389395</c:v>
                </c:pt>
                <c:pt idx="6">
                  <c:v>22.151117903873775</c:v>
                </c:pt>
                <c:pt idx="7">
                  <c:v>22.858594345101196</c:v>
                </c:pt>
                <c:pt idx="8">
                  <c:v>23.665358249084598</c:v>
                </c:pt>
                <c:pt idx="9">
                  <c:v>24.570404280411015</c:v>
                </c:pt>
                <c:pt idx="10">
                  <c:v>25.572862954716392</c:v>
                </c:pt>
                <c:pt idx="11">
                  <c:v>26.671969845618925</c:v>
                </c:pt>
                <c:pt idx="12">
                  <c:v>27.867044062624636</c:v>
                </c:pt>
                <c:pt idx="13">
                  <c:v>29.157472637403263</c:v>
                </c:pt>
                <c:pt idx="14">
                  <c:v>30.542698849819999</c:v>
                </c:pt>
                <c:pt idx="15">
                  <c:v>32.022213279576555</c:v>
                </c:pt>
                <c:pt idx="16">
                  <c:v>33.595546802041966</c:v>
                </c:pt>
                <c:pt idx="17">
                  <c:v>35.262265007158071</c:v>
                </c:pt>
                <c:pt idx="18">
                  <c:v>37.021963683266435</c:v>
                </c:pt>
                <c:pt idx="19">
                  <c:v>38.874265113247574</c:v>
                </c:pt>
                <c:pt idx="20">
                  <c:v>40.818815000752117</c:v>
                </c:pt>
                <c:pt idx="21">
                  <c:v>43.273574663072218</c:v>
                </c:pt>
                <c:pt idx="22">
                  <c:v>44.121146357305278</c:v>
                </c:pt>
                <c:pt idx="23">
                  <c:v>44.983344995978044</c:v>
                </c:pt>
                <c:pt idx="24">
                  <c:v>47.202712317094353</c:v>
                </c:pt>
                <c:pt idx="25">
                  <c:v>49.513099057453459</c:v>
                </c:pt>
                <c:pt idx="26">
                  <c:v>51.914236226767621</c:v>
                </c:pt>
                <c:pt idx="27">
                  <c:v>54.405867433213537</c:v>
                </c:pt>
                <c:pt idx="28">
                  <c:v>56.987747823055045</c:v>
                </c:pt>
                <c:pt idx="29">
                  <c:v>59.659643146142116</c:v>
                </c:pt>
                <c:pt idx="30">
                  <c:v>62.421328928308967</c:v>
                </c:pt>
                <c:pt idx="31">
                  <c:v>65.272589735121187</c:v>
                </c:pt>
                <c:pt idx="32">
                  <c:v>68.213218514133558</c:v>
                </c:pt>
                <c:pt idx="33">
                  <c:v>71.243016004988036</c:v>
                </c:pt>
                <c:pt idx="34">
                  <c:v>74.361790208422889</c:v>
                </c:pt>
                <c:pt idx="35">
                  <c:v>77.56935590667922</c:v>
                </c:pt>
                <c:pt idx="36">
                  <c:v>80.865534228943943</c:v>
                </c:pt>
                <c:pt idx="37">
                  <c:v>84.250152256418005</c:v>
                </c:pt>
                <c:pt idx="38">
                  <c:v>87.723042662382937</c:v>
                </c:pt>
                <c:pt idx="39">
                  <c:v>91.284043383289728</c:v>
                </c:pt>
                <c:pt idx="40">
                  <c:v>94.932997317441675</c:v>
                </c:pt>
                <c:pt idx="41">
                  <c:v>98.669752048299316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006-4379-94FD-579576A58C8F}"/>
            </c:ext>
          </c:extLst>
        </c:ser>
        <c:ser>
          <c:idx val="1"/>
          <c:order val="1"/>
          <c:tx>
            <c:v>System Curve Max. Operating Level</c:v>
          </c:tx>
          <c:xVal>
            <c:numRef>
              <c:f>'BWR Sys Curve - Rep w 24" DIPS'!$U$9:$U$50</c:f>
              <c:numCache>
                <c:formatCode>General</c:formatCode>
                <c:ptCount val="42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  <c:pt idx="20">
                  <c:v>10000</c:v>
                </c:pt>
                <c:pt idx="21">
                  <c:v>10600</c:v>
                </c:pt>
                <c:pt idx="22">
                  <c:v>10800</c:v>
                </c:pt>
                <c:pt idx="23">
                  <c:v>11000</c:v>
                </c:pt>
                <c:pt idx="24">
                  <c:v>11500</c:v>
                </c:pt>
                <c:pt idx="25">
                  <c:v>12000</c:v>
                </c:pt>
                <c:pt idx="26">
                  <c:v>12500</c:v>
                </c:pt>
                <c:pt idx="27">
                  <c:v>13000</c:v>
                </c:pt>
                <c:pt idx="28">
                  <c:v>13500</c:v>
                </c:pt>
                <c:pt idx="29">
                  <c:v>14000</c:v>
                </c:pt>
                <c:pt idx="30">
                  <c:v>14500</c:v>
                </c:pt>
                <c:pt idx="31">
                  <c:v>15000</c:v>
                </c:pt>
                <c:pt idx="32">
                  <c:v>15500</c:v>
                </c:pt>
                <c:pt idx="33">
                  <c:v>16000</c:v>
                </c:pt>
                <c:pt idx="34">
                  <c:v>16500</c:v>
                </c:pt>
                <c:pt idx="35">
                  <c:v>17000</c:v>
                </c:pt>
                <c:pt idx="36">
                  <c:v>17500</c:v>
                </c:pt>
                <c:pt idx="37">
                  <c:v>18000</c:v>
                </c:pt>
                <c:pt idx="38">
                  <c:v>18500</c:v>
                </c:pt>
                <c:pt idx="39">
                  <c:v>19000</c:v>
                </c:pt>
                <c:pt idx="40">
                  <c:v>19500</c:v>
                </c:pt>
                <c:pt idx="41">
                  <c:v>20000</c:v>
                </c:pt>
              </c:numCache>
            </c:numRef>
          </c:xVal>
          <c:yVal>
            <c:numRef>
              <c:f>'BWR Sys Curve - Rep w 24" DIPS'!$AV$9:$AV$50</c:f>
              <c:numCache>
                <c:formatCode>0.0</c:formatCode>
                <c:ptCount val="42"/>
                <c:pt idx="0">
                  <c:v>10.059999999999491</c:v>
                </c:pt>
                <c:pt idx="1">
                  <c:v>10.127389013451593</c:v>
                </c:pt>
                <c:pt idx="2">
                  <c:v>10.312568357226596</c:v>
                </c:pt>
                <c:pt idx="3">
                  <c:v>10.607694684909646</c:v>
                </c:pt>
                <c:pt idx="4">
                  <c:v>11.009032751297546</c:v>
                </c:pt>
                <c:pt idx="5">
                  <c:v>11.51411630738874</c:v>
                </c:pt>
                <c:pt idx="6">
                  <c:v>12.12111790387312</c:v>
                </c:pt>
                <c:pt idx="7">
                  <c:v>12.828594345100539</c:v>
                </c:pt>
                <c:pt idx="8">
                  <c:v>13.635358249083943</c:v>
                </c:pt>
                <c:pt idx="9">
                  <c:v>14.54040428041036</c:v>
                </c:pt>
                <c:pt idx="10">
                  <c:v>15.542862954715737</c:v>
                </c:pt>
                <c:pt idx="11">
                  <c:v>16.64196984561827</c:v>
                </c:pt>
                <c:pt idx="12">
                  <c:v>17.837044062623981</c:v>
                </c:pt>
                <c:pt idx="13">
                  <c:v>19.127472637402608</c:v>
                </c:pt>
                <c:pt idx="14">
                  <c:v>20.512698849819344</c:v>
                </c:pt>
                <c:pt idx="15">
                  <c:v>21.9922132795759</c:v>
                </c:pt>
                <c:pt idx="16">
                  <c:v>23.565546802041307</c:v>
                </c:pt>
                <c:pt idx="17">
                  <c:v>25.232265007157416</c:v>
                </c:pt>
                <c:pt idx="18">
                  <c:v>26.99196368326578</c:v>
                </c:pt>
                <c:pt idx="19">
                  <c:v>28.844265113246919</c:v>
                </c:pt>
                <c:pt idx="20">
                  <c:v>30.788815000751462</c:v>
                </c:pt>
                <c:pt idx="21">
                  <c:v>33.243574663071563</c:v>
                </c:pt>
                <c:pt idx="22">
                  <c:v>34.091146357304623</c:v>
                </c:pt>
                <c:pt idx="23">
                  <c:v>34.953344995977389</c:v>
                </c:pt>
                <c:pt idx="24">
                  <c:v>37.172712317093698</c:v>
                </c:pt>
                <c:pt idx="25">
                  <c:v>39.483099057452804</c:v>
                </c:pt>
                <c:pt idx="26">
                  <c:v>41.884236226766966</c:v>
                </c:pt>
                <c:pt idx="27">
                  <c:v>44.375867433212882</c:v>
                </c:pt>
                <c:pt idx="28">
                  <c:v>46.95774782305439</c:v>
                </c:pt>
                <c:pt idx="29">
                  <c:v>49.629643146141461</c:v>
                </c:pt>
                <c:pt idx="30">
                  <c:v>52.391328928308312</c:v>
                </c:pt>
                <c:pt idx="31">
                  <c:v>55.242589735120532</c:v>
                </c:pt>
                <c:pt idx="32">
                  <c:v>58.183218514132911</c:v>
                </c:pt>
                <c:pt idx="33">
                  <c:v>61.213016004987381</c:v>
                </c:pt>
                <c:pt idx="34">
                  <c:v>64.331790208422234</c:v>
                </c:pt>
                <c:pt idx="35">
                  <c:v>67.539355906678566</c:v>
                </c:pt>
                <c:pt idx="36">
                  <c:v>70.835534228943288</c:v>
                </c:pt>
                <c:pt idx="37">
                  <c:v>74.22015225641735</c:v>
                </c:pt>
                <c:pt idx="38">
                  <c:v>77.693042662382283</c:v>
                </c:pt>
                <c:pt idx="39">
                  <c:v>81.254043383289073</c:v>
                </c:pt>
                <c:pt idx="40">
                  <c:v>84.90299731744102</c:v>
                </c:pt>
                <c:pt idx="41">
                  <c:v>88.639752048298661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006-4379-94FD-579576A58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146296"/>
        <c:axId val="732148256"/>
      </c:scatterChart>
      <c:valAx>
        <c:axId val="732146296"/>
        <c:scaling>
          <c:orientation val="minMax"/>
        </c:scaling>
        <c:delete val="0"/>
        <c:axPos val="b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(GPM)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32148256"/>
        <c:crosses val="autoZero"/>
        <c:crossBetween val="midCat"/>
      </c:valAx>
      <c:valAx>
        <c:axId val="732148256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TDH (ft)</a:t>
                </a:r>
              </a:p>
            </c:rich>
          </c:tx>
          <c:layout/>
          <c:overlay val="0"/>
        </c:title>
        <c:numFmt formatCode="General" sourceLinked="0"/>
        <c:majorTickMark val="in"/>
        <c:minorTickMark val="none"/>
        <c:tickLblPos val="nextTo"/>
        <c:crossAx val="732146296"/>
        <c:crosses val="autoZero"/>
        <c:crossBetween val="midCat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autoTitleDeleted val="0"/>
    <c:plotArea>
      <c:layout>
        <c:manualLayout>
          <c:layoutTarget val="inner"/>
          <c:xMode val="edge"/>
          <c:yMode val="edge"/>
          <c:x val="7.645589688009409E-2"/>
          <c:y val="0.1314312790212139"/>
          <c:w val="0.85110257223021191"/>
          <c:h val="0.77514498983755831"/>
        </c:manualLayout>
      </c:layout>
      <c:scatterChart>
        <c:scatterStyle val="smoothMarker"/>
        <c:varyColors val="0"/>
        <c:ser>
          <c:idx val="0"/>
          <c:order val="0"/>
          <c:tx>
            <c:v>1 Pump On</c:v>
          </c:tx>
          <c:xVal>
            <c:numRef>
              <c:f>'Pump Info'!$B$5:$B$18</c:f>
              <c:numCache>
                <c:formatCode>General</c:formatCode>
                <c:ptCount val="14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8600</c:v>
                </c:pt>
                <c:pt idx="10">
                  <c:v>9000</c:v>
                </c:pt>
                <c:pt idx="11">
                  <c:v>10000</c:v>
                </c:pt>
                <c:pt idx="12">
                  <c:v>11000</c:v>
                </c:pt>
                <c:pt idx="13">
                  <c:v>11200</c:v>
                </c:pt>
              </c:numCache>
            </c:numRef>
          </c:xVal>
          <c:yVal>
            <c:numRef>
              <c:f>'Pump Info'!$A$5:$A$18</c:f>
              <c:numCache>
                <c:formatCode>General</c:formatCode>
                <c:ptCount val="14"/>
                <c:pt idx="0">
                  <c:v>104</c:v>
                </c:pt>
                <c:pt idx="1">
                  <c:v>94</c:v>
                </c:pt>
                <c:pt idx="2">
                  <c:v>86</c:v>
                </c:pt>
                <c:pt idx="3">
                  <c:v>79</c:v>
                </c:pt>
                <c:pt idx="4">
                  <c:v>72</c:v>
                </c:pt>
                <c:pt idx="5">
                  <c:v>68</c:v>
                </c:pt>
                <c:pt idx="6">
                  <c:v>64</c:v>
                </c:pt>
                <c:pt idx="7">
                  <c:v>62</c:v>
                </c:pt>
                <c:pt idx="8">
                  <c:v>58</c:v>
                </c:pt>
                <c:pt idx="9">
                  <c:v>56</c:v>
                </c:pt>
                <c:pt idx="10">
                  <c:v>52</c:v>
                </c:pt>
                <c:pt idx="11">
                  <c:v>43</c:v>
                </c:pt>
                <c:pt idx="12">
                  <c:v>32</c:v>
                </c:pt>
                <c:pt idx="13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42-481D-B960-00CBF686E598}"/>
            </c:ext>
          </c:extLst>
        </c:ser>
        <c:ser>
          <c:idx val="5"/>
          <c:order val="1"/>
          <c:tx>
            <c:v>1 Large Pump + 1 Jockey Pump</c:v>
          </c:tx>
          <c:xVal>
            <c:numRef>
              <c:f>'Pump Info'!#REF!</c:f>
            </c:numRef>
          </c:xVal>
          <c:yVal>
            <c:numRef>
              <c:f>'Pump Info'!#REF!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42-481D-B960-00CBF686E598}"/>
            </c:ext>
          </c:extLst>
        </c:ser>
        <c:ser>
          <c:idx val="1"/>
          <c:order val="2"/>
          <c:tx>
            <c:v>2 Pumps On</c:v>
          </c:tx>
          <c:xVal>
            <c:numRef>
              <c:f>'Pump Info'!$C$5:$C$18</c:f>
              <c:numCache>
                <c:formatCode>General</c:formatCode>
                <c:ptCount val="14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17200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22400</c:v>
                </c:pt>
              </c:numCache>
            </c:numRef>
          </c:xVal>
          <c:yVal>
            <c:numRef>
              <c:f>'Pump Info'!$A$5:$A$18</c:f>
              <c:numCache>
                <c:formatCode>General</c:formatCode>
                <c:ptCount val="14"/>
                <c:pt idx="0">
                  <c:v>104</c:v>
                </c:pt>
                <c:pt idx="1">
                  <c:v>94</c:v>
                </c:pt>
                <c:pt idx="2">
                  <c:v>86</c:v>
                </c:pt>
                <c:pt idx="3">
                  <c:v>79</c:v>
                </c:pt>
                <c:pt idx="4">
                  <c:v>72</c:v>
                </c:pt>
                <c:pt idx="5">
                  <c:v>68</c:v>
                </c:pt>
                <c:pt idx="6">
                  <c:v>64</c:v>
                </c:pt>
                <c:pt idx="7">
                  <c:v>62</c:v>
                </c:pt>
                <c:pt idx="8">
                  <c:v>58</c:v>
                </c:pt>
                <c:pt idx="9">
                  <c:v>56</c:v>
                </c:pt>
                <c:pt idx="10">
                  <c:v>52</c:v>
                </c:pt>
                <c:pt idx="11">
                  <c:v>43</c:v>
                </c:pt>
                <c:pt idx="12">
                  <c:v>32</c:v>
                </c:pt>
                <c:pt idx="13">
                  <c:v>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542-481D-B960-00CBF686E598}"/>
            </c:ext>
          </c:extLst>
        </c:ser>
        <c:ser>
          <c:idx val="2"/>
          <c:order val="3"/>
          <c:tx>
            <c:v>DIPS - Max TDH</c:v>
          </c:tx>
          <c:xVal>
            <c:numRef>
              <c:f>'BWR Sys Curve - Rep w 24" DIPS'!$U$9:$U$54</c:f>
              <c:numCache>
                <c:formatCode>General</c:formatCode>
                <c:ptCount val="46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  <c:pt idx="20">
                  <c:v>10000</c:v>
                </c:pt>
                <c:pt idx="21">
                  <c:v>10600</c:v>
                </c:pt>
                <c:pt idx="22">
                  <c:v>10800</c:v>
                </c:pt>
                <c:pt idx="23">
                  <c:v>11000</c:v>
                </c:pt>
                <c:pt idx="24">
                  <c:v>11500</c:v>
                </c:pt>
                <c:pt idx="25">
                  <c:v>12000</c:v>
                </c:pt>
                <c:pt idx="26">
                  <c:v>12500</c:v>
                </c:pt>
                <c:pt idx="27">
                  <c:v>13000</c:v>
                </c:pt>
                <c:pt idx="28">
                  <c:v>13500</c:v>
                </c:pt>
                <c:pt idx="29">
                  <c:v>14000</c:v>
                </c:pt>
                <c:pt idx="30">
                  <c:v>14500</c:v>
                </c:pt>
                <c:pt idx="31">
                  <c:v>15000</c:v>
                </c:pt>
                <c:pt idx="32">
                  <c:v>15500</c:v>
                </c:pt>
                <c:pt idx="33">
                  <c:v>16000</c:v>
                </c:pt>
                <c:pt idx="34">
                  <c:v>16500</c:v>
                </c:pt>
                <c:pt idx="35">
                  <c:v>17000</c:v>
                </c:pt>
                <c:pt idx="36">
                  <c:v>17500</c:v>
                </c:pt>
                <c:pt idx="37">
                  <c:v>18000</c:v>
                </c:pt>
                <c:pt idx="38">
                  <c:v>18500</c:v>
                </c:pt>
                <c:pt idx="39">
                  <c:v>19000</c:v>
                </c:pt>
                <c:pt idx="40">
                  <c:v>19500</c:v>
                </c:pt>
                <c:pt idx="41">
                  <c:v>20000</c:v>
                </c:pt>
                <c:pt idx="42">
                  <c:v>20500</c:v>
                </c:pt>
                <c:pt idx="43">
                  <c:v>21000</c:v>
                </c:pt>
                <c:pt idx="44">
                  <c:v>21500</c:v>
                </c:pt>
                <c:pt idx="45">
                  <c:v>22000</c:v>
                </c:pt>
              </c:numCache>
            </c:numRef>
          </c:xVal>
          <c:yVal>
            <c:numRef>
              <c:f>'BWR Sys Curve - Rep w 24" DIPS'!$AU$9:$AU$54</c:f>
              <c:numCache>
                <c:formatCode>0.0</c:formatCode>
                <c:ptCount val="46"/>
                <c:pt idx="0">
                  <c:v>20.090000000000146</c:v>
                </c:pt>
                <c:pt idx="1">
                  <c:v>20.157389013452249</c:v>
                </c:pt>
                <c:pt idx="2">
                  <c:v>20.34256835722725</c:v>
                </c:pt>
                <c:pt idx="3">
                  <c:v>20.637694684910301</c:v>
                </c:pt>
                <c:pt idx="4">
                  <c:v>21.039032751298201</c:v>
                </c:pt>
                <c:pt idx="5">
                  <c:v>21.544116307389395</c:v>
                </c:pt>
                <c:pt idx="6">
                  <c:v>22.151117903873775</c:v>
                </c:pt>
                <c:pt idx="7">
                  <c:v>22.858594345101196</c:v>
                </c:pt>
                <c:pt idx="8">
                  <c:v>23.665358249084598</c:v>
                </c:pt>
                <c:pt idx="9">
                  <c:v>24.570404280411015</c:v>
                </c:pt>
                <c:pt idx="10">
                  <c:v>25.572862954716392</c:v>
                </c:pt>
                <c:pt idx="11">
                  <c:v>26.671969845618925</c:v>
                </c:pt>
                <c:pt idx="12">
                  <c:v>27.867044062624636</c:v>
                </c:pt>
                <c:pt idx="13">
                  <c:v>29.157472637403263</c:v>
                </c:pt>
                <c:pt idx="14">
                  <c:v>30.542698849819999</c:v>
                </c:pt>
                <c:pt idx="15">
                  <c:v>32.022213279576555</c:v>
                </c:pt>
                <c:pt idx="16">
                  <c:v>33.595546802041966</c:v>
                </c:pt>
                <c:pt idx="17">
                  <c:v>35.262265007158071</c:v>
                </c:pt>
                <c:pt idx="18">
                  <c:v>37.021963683266435</c:v>
                </c:pt>
                <c:pt idx="19">
                  <c:v>38.874265113247574</c:v>
                </c:pt>
                <c:pt idx="20">
                  <c:v>40.818815000752117</c:v>
                </c:pt>
                <c:pt idx="21">
                  <c:v>43.273574663072218</c:v>
                </c:pt>
                <c:pt idx="22">
                  <c:v>44.121146357305278</c:v>
                </c:pt>
                <c:pt idx="23">
                  <c:v>44.983344995978044</c:v>
                </c:pt>
                <c:pt idx="24">
                  <c:v>47.202712317094353</c:v>
                </c:pt>
                <c:pt idx="25">
                  <c:v>49.513099057453459</c:v>
                </c:pt>
                <c:pt idx="26">
                  <c:v>51.914236226767621</c:v>
                </c:pt>
                <c:pt idx="27">
                  <c:v>54.405867433213537</c:v>
                </c:pt>
                <c:pt idx="28">
                  <c:v>56.987747823055045</c:v>
                </c:pt>
                <c:pt idx="29">
                  <c:v>59.659643146142116</c:v>
                </c:pt>
                <c:pt idx="30">
                  <c:v>62.421328928308967</c:v>
                </c:pt>
                <c:pt idx="31">
                  <c:v>65.272589735121187</c:v>
                </c:pt>
                <c:pt idx="32">
                  <c:v>68.213218514133558</c:v>
                </c:pt>
                <c:pt idx="33">
                  <c:v>71.243016004988036</c:v>
                </c:pt>
                <c:pt idx="34">
                  <c:v>74.361790208422889</c:v>
                </c:pt>
                <c:pt idx="35">
                  <c:v>77.56935590667922</c:v>
                </c:pt>
                <c:pt idx="36">
                  <c:v>80.865534228943943</c:v>
                </c:pt>
                <c:pt idx="37">
                  <c:v>84.250152256418005</c:v>
                </c:pt>
                <c:pt idx="38">
                  <c:v>87.723042662382937</c:v>
                </c:pt>
                <c:pt idx="39">
                  <c:v>91.284043383289728</c:v>
                </c:pt>
                <c:pt idx="40">
                  <c:v>94.932997317441675</c:v>
                </c:pt>
                <c:pt idx="41">
                  <c:v>98.669752048299316</c:v>
                </c:pt>
                <c:pt idx="42">
                  <c:v>102.49415958982397</c:v>
                </c:pt>
                <c:pt idx="43">
                  <c:v>106.40607615160292</c:v>
                </c:pt>
                <c:pt idx="44">
                  <c:v>110.40536192178166</c:v>
                </c:pt>
                <c:pt idx="45">
                  <c:v>114.49188086606469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542-481D-B960-00CBF686E598}"/>
            </c:ext>
          </c:extLst>
        </c:ser>
        <c:ser>
          <c:idx val="3"/>
          <c:order val="4"/>
          <c:tx>
            <c:v>DIPS - Min TDH</c:v>
          </c:tx>
          <c:xVal>
            <c:numRef>
              <c:f>'BWR Sys Curve - Rep w 24" DIPS'!$U$9:$U$54</c:f>
              <c:numCache>
                <c:formatCode>General</c:formatCode>
                <c:ptCount val="46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  <c:pt idx="20">
                  <c:v>10000</c:v>
                </c:pt>
                <c:pt idx="21">
                  <c:v>10600</c:v>
                </c:pt>
                <c:pt idx="22">
                  <c:v>10800</c:v>
                </c:pt>
                <c:pt idx="23">
                  <c:v>11000</c:v>
                </c:pt>
                <c:pt idx="24">
                  <c:v>11500</c:v>
                </c:pt>
                <c:pt idx="25">
                  <c:v>12000</c:v>
                </c:pt>
                <c:pt idx="26">
                  <c:v>12500</c:v>
                </c:pt>
                <c:pt idx="27">
                  <c:v>13000</c:v>
                </c:pt>
                <c:pt idx="28">
                  <c:v>13500</c:v>
                </c:pt>
                <c:pt idx="29">
                  <c:v>14000</c:v>
                </c:pt>
                <c:pt idx="30">
                  <c:v>14500</c:v>
                </c:pt>
                <c:pt idx="31">
                  <c:v>15000</c:v>
                </c:pt>
                <c:pt idx="32">
                  <c:v>15500</c:v>
                </c:pt>
                <c:pt idx="33">
                  <c:v>16000</c:v>
                </c:pt>
                <c:pt idx="34">
                  <c:v>16500</c:v>
                </c:pt>
                <c:pt idx="35">
                  <c:v>17000</c:v>
                </c:pt>
                <c:pt idx="36">
                  <c:v>17500</c:v>
                </c:pt>
                <c:pt idx="37">
                  <c:v>18000</c:v>
                </c:pt>
                <c:pt idx="38">
                  <c:v>18500</c:v>
                </c:pt>
                <c:pt idx="39">
                  <c:v>19000</c:v>
                </c:pt>
                <c:pt idx="40">
                  <c:v>19500</c:v>
                </c:pt>
                <c:pt idx="41">
                  <c:v>20000</c:v>
                </c:pt>
                <c:pt idx="42">
                  <c:v>20500</c:v>
                </c:pt>
                <c:pt idx="43">
                  <c:v>21000</c:v>
                </c:pt>
                <c:pt idx="44">
                  <c:v>21500</c:v>
                </c:pt>
                <c:pt idx="45">
                  <c:v>22000</c:v>
                </c:pt>
              </c:numCache>
            </c:numRef>
          </c:xVal>
          <c:yVal>
            <c:numRef>
              <c:f>'BWR Sys Curve - Rep w 24" DIPS'!$AV$9:$AV$54</c:f>
              <c:numCache>
                <c:formatCode>0.0</c:formatCode>
                <c:ptCount val="46"/>
                <c:pt idx="0">
                  <c:v>10.059999999999491</c:v>
                </c:pt>
                <c:pt idx="1">
                  <c:v>10.127389013451593</c:v>
                </c:pt>
                <c:pt idx="2">
                  <c:v>10.312568357226596</c:v>
                </c:pt>
                <c:pt idx="3">
                  <c:v>10.607694684909646</c:v>
                </c:pt>
                <c:pt idx="4">
                  <c:v>11.009032751297546</c:v>
                </c:pt>
                <c:pt idx="5">
                  <c:v>11.51411630738874</c:v>
                </c:pt>
                <c:pt idx="6">
                  <c:v>12.12111790387312</c:v>
                </c:pt>
                <c:pt idx="7">
                  <c:v>12.828594345100539</c:v>
                </c:pt>
                <c:pt idx="8">
                  <c:v>13.635358249083943</c:v>
                </c:pt>
                <c:pt idx="9">
                  <c:v>14.54040428041036</c:v>
                </c:pt>
                <c:pt idx="10">
                  <c:v>15.542862954715737</c:v>
                </c:pt>
                <c:pt idx="11">
                  <c:v>16.64196984561827</c:v>
                </c:pt>
                <c:pt idx="12">
                  <c:v>17.837044062623981</c:v>
                </c:pt>
                <c:pt idx="13">
                  <c:v>19.127472637402608</c:v>
                </c:pt>
                <c:pt idx="14">
                  <c:v>20.512698849819344</c:v>
                </c:pt>
                <c:pt idx="15">
                  <c:v>21.9922132795759</c:v>
                </c:pt>
                <c:pt idx="16">
                  <c:v>23.565546802041307</c:v>
                </c:pt>
                <c:pt idx="17">
                  <c:v>25.232265007157416</c:v>
                </c:pt>
                <c:pt idx="18">
                  <c:v>26.99196368326578</c:v>
                </c:pt>
                <c:pt idx="19">
                  <c:v>28.844265113246919</c:v>
                </c:pt>
                <c:pt idx="20">
                  <c:v>30.788815000751462</c:v>
                </c:pt>
                <c:pt idx="21">
                  <c:v>33.243574663071563</c:v>
                </c:pt>
                <c:pt idx="22">
                  <c:v>34.091146357304623</c:v>
                </c:pt>
                <c:pt idx="23">
                  <c:v>34.953344995977389</c:v>
                </c:pt>
                <c:pt idx="24">
                  <c:v>37.172712317093698</c:v>
                </c:pt>
                <c:pt idx="25">
                  <c:v>39.483099057452804</c:v>
                </c:pt>
                <c:pt idx="26">
                  <c:v>41.884236226766966</c:v>
                </c:pt>
                <c:pt idx="27">
                  <c:v>44.375867433212882</c:v>
                </c:pt>
                <c:pt idx="28">
                  <c:v>46.95774782305439</c:v>
                </c:pt>
                <c:pt idx="29">
                  <c:v>49.629643146141461</c:v>
                </c:pt>
                <c:pt idx="30">
                  <c:v>52.391328928308312</c:v>
                </c:pt>
                <c:pt idx="31">
                  <c:v>55.242589735120532</c:v>
                </c:pt>
                <c:pt idx="32">
                  <c:v>58.183218514132911</c:v>
                </c:pt>
                <c:pt idx="33">
                  <c:v>61.213016004987381</c:v>
                </c:pt>
                <c:pt idx="34">
                  <c:v>64.331790208422234</c:v>
                </c:pt>
                <c:pt idx="35">
                  <c:v>67.539355906678566</c:v>
                </c:pt>
                <c:pt idx="36">
                  <c:v>70.835534228943288</c:v>
                </c:pt>
                <c:pt idx="37">
                  <c:v>74.22015225641735</c:v>
                </c:pt>
                <c:pt idx="38">
                  <c:v>77.693042662382283</c:v>
                </c:pt>
                <c:pt idx="39">
                  <c:v>81.254043383289073</c:v>
                </c:pt>
                <c:pt idx="40">
                  <c:v>84.90299731744102</c:v>
                </c:pt>
                <c:pt idx="41">
                  <c:v>88.639752048298661</c:v>
                </c:pt>
                <c:pt idx="42">
                  <c:v>92.464159589823311</c:v>
                </c:pt>
                <c:pt idx="43">
                  <c:v>96.376076151602263</c:v>
                </c:pt>
                <c:pt idx="44">
                  <c:v>100.37536192178101</c:v>
                </c:pt>
                <c:pt idx="45">
                  <c:v>104.46188086606404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542-481D-B960-00CBF686E598}"/>
            </c:ext>
          </c:extLst>
        </c:ser>
        <c:ser>
          <c:idx val="6"/>
          <c:order val="5"/>
          <c:tx>
            <c:v>2 Pumps - 50 hz</c:v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'Pump Info'!$F$38:$F$51</c:f>
              <c:numCache>
                <c:formatCode>General</c:formatCode>
                <c:ptCount val="14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17200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22400</c:v>
                </c:pt>
              </c:numCache>
            </c:numRef>
          </c:xVal>
          <c:yVal>
            <c:numRef>
              <c:f>'Pump Info'!$B$38:$B$51</c:f>
              <c:numCache>
                <c:formatCode>0.0</c:formatCode>
                <c:ptCount val="14"/>
                <c:pt idx="0">
                  <c:v>94.938576634228795</c:v>
                </c:pt>
                <c:pt idx="1">
                  <c:v>85.809867342476025</c:v>
                </c:pt>
                <c:pt idx="2">
                  <c:v>78.506899909073809</c:v>
                </c:pt>
                <c:pt idx="3">
                  <c:v>72.116803404846877</c:v>
                </c:pt>
                <c:pt idx="4">
                  <c:v>65.726706900619931</c:v>
                </c:pt>
                <c:pt idx="5">
                  <c:v>62.07522318391883</c:v>
                </c:pt>
                <c:pt idx="6">
                  <c:v>58.423739467217722</c:v>
                </c:pt>
                <c:pt idx="7">
                  <c:v>56.597997608867168</c:v>
                </c:pt>
                <c:pt idx="8">
                  <c:v>52.94651389216606</c:v>
                </c:pt>
                <c:pt idx="9">
                  <c:v>51.120772033815506</c:v>
                </c:pt>
                <c:pt idx="10">
                  <c:v>47.469288317114398</c:v>
                </c:pt>
                <c:pt idx="11">
                  <c:v>39.253449954536904</c:v>
                </c:pt>
                <c:pt idx="12">
                  <c:v>29.211869733608861</c:v>
                </c:pt>
                <c:pt idx="13">
                  <c:v>25.560386016907753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542-481D-B960-00CBF686E598}"/>
            </c:ext>
          </c:extLst>
        </c:ser>
        <c:ser>
          <c:idx val="7"/>
          <c:order val="6"/>
          <c:tx>
            <c:v>2 Pumps - 40 hz</c:v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'Pump Info'!$F$38:$F$51</c:f>
              <c:numCache>
                <c:formatCode>General</c:formatCode>
                <c:ptCount val="14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17200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22400</c:v>
                </c:pt>
              </c:numCache>
            </c:numRef>
          </c:xVal>
          <c:yVal>
            <c:numRef>
              <c:f>'Pump Info'!$C$38:$C$51</c:f>
              <c:numCache>
                <c:formatCode>0.0</c:formatCode>
                <c:ptCount val="14"/>
                <c:pt idx="0">
                  <c:v>84.915644416483502</c:v>
                </c:pt>
                <c:pt idx="1">
                  <c:v>76.750678607206254</c:v>
                </c:pt>
                <c:pt idx="2">
                  <c:v>70.218705959784444</c:v>
                </c:pt>
                <c:pt idx="3">
                  <c:v>64.503229893290353</c:v>
                </c:pt>
                <c:pt idx="4">
                  <c:v>58.787753826796276</c:v>
                </c:pt>
                <c:pt idx="5">
                  <c:v>55.521767503085371</c:v>
                </c:pt>
                <c:pt idx="6">
                  <c:v>52.255781179374466</c:v>
                </c:pt>
                <c:pt idx="7">
                  <c:v>50.622788017519014</c:v>
                </c:pt>
                <c:pt idx="8">
                  <c:v>47.356801693808109</c:v>
                </c:pt>
                <c:pt idx="9">
                  <c:v>45.723808531952656</c:v>
                </c:pt>
                <c:pt idx="10">
                  <c:v>42.457822208241751</c:v>
                </c:pt>
                <c:pt idx="11">
                  <c:v>35.109352979892222</c:v>
                </c:pt>
                <c:pt idx="12">
                  <c:v>26.127890589687233</c:v>
                </c:pt>
                <c:pt idx="13">
                  <c:v>22.861904265976328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542-481D-B960-00CBF686E598}"/>
            </c:ext>
          </c:extLst>
        </c:ser>
        <c:ser>
          <c:idx val="8"/>
          <c:order val="7"/>
          <c:tx>
            <c:v>2 Pumps - 35 hz</c:v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'Pump Info'!$F$38:$F$51</c:f>
              <c:numCache>
                <c:formatCode>General</c:formatCode>
                <c:ptCount val="14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17200</c:v>
                </c:pt>
                <c:pt idx="10">
                  <c:v>18000</c:v>
                </c:pt>
                <c:pt idx="11">
                  <c:v>20000</c:v>
                </c:pt>
                <c:pt idx="12">
                  <c:v>22000</c:v>
                </c:pt>
                <c:pt idx="13">
                  <c:v>22400</c:v>
                </c:pt>
              </c:numCache>
            </c:numRef>
          </c:xVal>
          <c:yVal>
            <c:numRef>
              <c:f>'Pump Info'!$D$38:$D$51</c:f>
              <c:numCache>
                <c:formatCode>0.0</c:formatCode>
                <c:ptCount val="14"/>
                <c:pt idx="0">
                  <c:v>79.431312045901237</c:v>
                </c:pt>
                <c:pt idx="1">
                  <c:v>71.793685887641502</c:v>
                </c:pt>
                <c:pt idx="2">
                  <c:v>65.683584961033716</c:v>
                </c:pt>
                <c:pt idx="3">
                  <c:v>60.337246650251899</c:v>
                </c:pt>
                <c:pt idx="4">
                  <c:v>54.990908339470082</c:v>
                </c:pt>
                <c:pt idx="5">
                  <c:v>51.935857876166189</c:v>
                </c:pt>
                <c:pt idx="6">
                  <c:v>48.880807412862296</c:v>
                </c:pt>
                <c:pt idx="7">
                  <c:v>47.353282181210346</c:v>
                </c:pt>
                <c:pt idx="8">
                  <c:v>44.298231717906454</c:v>
                </c:pt>
                <c:pt idx="9">
                  <c:v>42.770706486254511</c:v>
                </c:pt>
                <c:pt idx="10">
                  <c:v>39.715656022950618</c:v>
                </c:pt>
                <c:pt idx="11">
                  <c:v>32.841792480516858</c:v>
                </c:pt>
                <c:pt idx="12">
                  <c:v>24.440403706431148</c:v>
                </c:pt>
                <c:pt idx="13">
                  <c:v>21.385353243127255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542-481D-B960-00CBF686E598}"/>
            </c:ext>
          </c:extLst>
        </c:ser>
        <c:ser>
          <c:idx val="9"/>
          <c:order val="8"/>
          <c:tx>
            <c:v>1 Pump - 50 hz</c:v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'Pump Info'!$E$38:$E$51</c:f>
              <c:numCache>
                <c:formatCode>General</c:formatCode>
                <c:ptCount val="14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8600</c:v>
                </c:pt>
                <c:pt idx="10">
                  <c:v>9000</c:v>
                </c:pt>
                <c:pt idx="11">
                  <c:v>10000</c:v>
                </c:pt>
                <c:pt idx="12">
                  <c:v>11000</c:v>
                </c:pt>
                <c:pt idx="13">
                  <c:v>11200</c:v>
                </c:pt>
              </c:numCache>
            </c:numRef>
          </c:xVal>
          <c:yVal>
            <c:numRef>
              <c:f>'Pump Info'!$B$38:$B$51</c:f>
              <c:numCache>
                <c:formatCode>0.0</c:formatCode>
                <c:ptCount val="14"/>
                <c:pt idx="0">
                  <c:v>94.938576634228795</c:v>
                </c:pt>
                <c:pt idx="1">
                  <c:v>85.809867342476025</c:v>
                </c:pt>
                <c:pt idx="2">
                  <c:v>78.506899909073809</c:v>
                </c:pt>
                <c:pt idx="3">
                  <c:v>72.116803404846877</c:v>
                </c:pt>
                <c:pt idx="4">
                  <c:v>65.726706900619931</c:v>
                </c:pt>
                <c:pt idx="5">
                  <c:v>62.07522318391883</c:v>
                </c:pt>
                <c:pt idx="6">
                  <c:v>58.423739467217722</c:v>
                </c:pt>
                <c:pt idx="7">
                  <c:v>56.597997608867168</c:v>
                </c:pt>
                <c:pt idx="8">
                  <c:v>52.94651389216606</c:v>
                </c:pt>
                <c:pt idx="9">
                  <c:v>51.120772033815506</c:v>
                </c:pt>
                <c:pt idx="10">
                  <c:v>47.469288317114398</c:v>
                </c:pt>
                <c:pt idx="11">
                  <c:v>39.253449954536904</c:v>
                </c:pt>
                <c:pt idx="12">
                  <c:v>29.211869733608861</c:v>
                </c:pt>
                <c:pt idx="13">
                  <c:v>25.560386016907753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542-481D-B960-00CBF686E598}"/>
            </c:ext>
          </c:extLst>
        </c:ser>
        <c:ser>
          <c:idx val="10"/>
          <c:order val="9"/>
          <c:tx>
            <c:v>1 Pump - 40 hz</c:v>
          </c:tx>
          <c:spPr>
            <a:ln>
              <a:solidFill>
                <a:schemeClr val="accent6">
                  <a:lumMod val="60000"/>
                  <a:lumOff val="4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'Pump Info'!$E$38:$E$51</c:f>
              <c:numCache>
                <c:formatCode>General</c:formatCode>
                <c:ptCount val="14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8600</c:v>
                </c:pt>
                <c:pt idx="10">
                  <c:v>9000</c:v>
                </c:pt>
                <c:pt idx="11">
                  <c:v>10000</c:v>
                </c:pt>
                <c:pt idx="12">
                  <c:v>11000</c:v>
                </c:pt>
                <c:pt idx="13">
                  <c:v>11200</c:v>
                </c:pt>
              </c:numCache>
            </c:numRef>
          </c:xVal>
          <c:yVal>
            <c:numRef>
              <c:f>'Pump Info'!$C$38:$C$51</c:f>
              <c:numCache>
                <c:formatCode>0.0</c:formatCode>
                <c:ptCount val="14"/>
                <c:pt idx="0">
                  <c:v>84.915644416483502</c:v>
                </c:pt>
                <c:pt idx="1">
                  <c:v>76.750678607206254</c:v>
                </c:pt>
                <c:pt idx="2">
                  <c:v>70.218705959784444</c:v>
                </c:pt>
                <c:pt idx="3">
                  <c:v>64.503229893290353</c:v>
                </c:pt>
                <c:pt idx="4">
                  <c:v>58.787753826796276</c:v>
                </c:pt>
                <c:pt idx="5">
                  <c:v>55.521767503085371</c:v>
                </c:pt>
                <c:pt idx="6">
                  <c:v>52.255781179374466</c:v>
                </c:pt>
                <c:pt idx="7">
                  <c:v>50.622788017519014</c:v>
                </c:pt>
                <c:pt idx="8">
                  <c:v>47.356801693808109</c:v>
                </c:pt>
                <c:pt idx="9">
                  <c:v>45.723808531952656</c:v>
                </c:pt>
                <c:pt idx="10">
                  <c:v>42.457822208241751</c:v>
                </c:pt>
                <c:pt idx="11">
                  <c:v>35.109352979892222</c:v>
                </c:pt>
                <c:pt idx="12">
                  <c:v>26.127890589687233</c:v>
                </c:pt>
                <c:pt idx="13">
                  <c:v>22.861904265976328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542-481D-B960-00CBF686E598}"/>
            </c:ext>
          </c:extLst>
        </c:ser>
        <c:ser>
          <c:idx val="11"/>
          <c:order val="10"/>
          <c:tx>
            <c:v>1 Pump - 35 hz</c:v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marker>
            <c:symbol val="none"/>
          </c:marker>
          <c:xVal>
            <c:numRef>
              <c:f>'Pump Info'!$E$38:$E$51</c:f>
              <c:numCache>
                <c:formatCode>General</c:formatCode>
                <c:ptCount val="14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8600</c:v>
                </c:pt>
                <c:pt idx="10">
                  <c:v>9000</c:v>
                </c:pt>
                <c:pt idx="11">
                  <c:v>10000</c:v>
                </c:pt>
                <c:pt idx="12">
                  <c:v>11000</c:v>
                </c:pt>
                <c:pt idx="13">
                  <c:v>11200</c:v>
                </c:pt>
              </c:numCache>
            </c:numRef>
          </c:xVal>
          <c:yVal>
            <c:numRef>
              <c:f>'Pump Info'!$D$38:$D$51</c:f>
              <c:numCache>
                <c:formatCode>0.0</c:formatCode>
                <c:ptCount val="14"/>
                <c:pt idx="0">
                  <c:v>79.431312045901237</c:v>
                </c:pt>
                <c:pt idx="1">
                  <c:v>71.793685887641502</c:v>
                </c:pt>
                <c:pt idx="2">
                  <c:v>65.683584961033716</c:v>
                </c:pt>
                <c:pt idx="3">
                  <c:v>60.337246650251899</c:v>
                </c:pt>
                <c:pt idx="4">
                  <c:v>54.990908339470082</c:v>
                </c:pt>
                <c:pt idx="5">
                  <c:v>51.935857876166189</c:v>
                </c:pt>
                <c:pt idx="6">
                  <c:v>48.880807412862296</c:v>
                </c:pt>
                <c:pt idx="7">
                  <c:v>47.353282181210346</c:v>
                </c:pt>
                <c:pt idx="8">
                  <c:v>44.298231717906454</c:v>
                </c:pt>
                <c:pt idx="9">
                  <c:v>42.770706486254511</c:v>
                </c:pt>
                <c:pt idx="10">
                  <c:v>39.715656022950618</c:v>
                </c:pt>
                <c:pt idx="11">
                  <c:v>32.841792480516858</c:v>
                </c:pt>
                <c:pt idx="12">
                  <c:v>24.440403706431148</c:v>
                </c:pt>
                <c:pt idx="13">
                  <c:v>21.385353243127255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542-481D-B960-00CBF686E598}"/>
            </c:ext>
          </c:extLst>
        </c:ser>
        <c:ser>
          <c:idx val="4"/>
          <c:order val="11"/>
          <c:tx>
            <c:v>DIPS Empty Wet Well</c:v>
          </c:tx>
          <c:xVal>
            <c:numRef>
              <c:f>'BWR Sys Curve - Rep w 24" DIPS'!$D$72:$D$82</c:f>
              <c:numCache>
                <c:formatCode>General</c:formatCode>
                <c:ptCount val="11"/>
              </c:numCache>
            </c:numRef>
          </c:xVal>
          <c:yVal>
            <c:numRef>
              <c:f>'BWR Sys Curve - Rep w 24" DIPS'!$E$72:$E$82</c:f>
              <c:numCache>
                <c:formatCode>General</c:formatCode>
                <c:ptCount val="1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542-481D-B960-00CBF686E598}"/>
            </c:ext>
          </c:extLst>
        </c:ser>
        <c:ser>
          <c:idx val="12"/>
          <c:order val="12"/>
          <c:tx>
            <c:v>DIPS Empty Wet Well</c:v>
          </c:tx>
          <c:xVal>
            <c:numRef>
              <c:f>'BWR Sys Curve - Rep w 24" DIPS'!$G$72:$G$82</c:f>
              <c:numCache>
                <c:formatCode>General</c:formatCode>
                <c:ptCount val="11"/>
              </c:numCache>
            </c:numRef>
          </c:xVal>
          <c:yVal>
            <c:numRef>
              <c:f>'BWR Sys Curve - Rep w 24" DIPS'!$H$72:$H$82</c:f>
              <c:numCache>
                <c:formatCode>General</c:formatCode>
                <c:ptCount val="11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542-481D-B960-00CBF686E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156096"/>
        <c:axId val="732151000"/>
      </c:scatterChart>
      <c:valAx>
        <c:axId val="732156096"/>
        <c:scaling>
          <c:orientation val="minMax"/>
          <c:max val="1600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(gpm)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32151000"/>
        <c:crosses val="autoZero"/>
        <c:crossBetween val="midCat"/>
        <c:majorUnit val="4000"/>
        <c:minorUnit val="1000"/>
      </c:valAx>
      <c:valAx>
        <c:axId val="732151000"/>
        <c:scaling>
          <c:orientation val="minMax"/>
          <c:max val="120"/>
          <c:min val="0"/>
        </c:scaling>
        <c:delete val="0"/>
        <c:axPos val="l"/>
        <c:majorGridlines/>
        <c:min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Head</a:t>
                </a:r>
                <a:r>
                  <a:rPr lang="en-US" baseline="0"/>
                  <a:t> (ft)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732156096"/>
        <c:crosses val="autoZero"/>
        <c:crossBetween val="midCat"/>
        <c:minorUnit val="5"/>
      </c:valAx>
    </c:plotArea>
    <c:legend>
      <c:legendPos val="r"/>
      <c:layout>
        <c:manualLayout>
          <c:xMode val="edge"/>
          <c:yMode val="edge"/>
          <c:x val="0.79527245040981476"/>
          <c:y val="2.0186597275635904E-3"/>
          <c:w val="0.20472749627505174"/>
          <c:h val="0.47477746364372808"/>
        </c:manualLayout>
      </c:layout>
      <c:overlay val="0"/>
      <c:spPr>
        <a:solidFill>
          <a:schemeClr val="bg1"/>
        </a:solidFill>
        <a:ln>
          <a:solidFill>
            <a:schemeClr val="accent1"/>
          </a:solidFill>
        </a:ln>
      </c:spPr>
    </c:legend>
    <c:plotVisOnly val="1"/>
    <c:dispBlanksAs val="gap"/>
    <c:showDLblsOverMax val="0"/>
  </c:chart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tx>
            <c:v>System Curve Min Operating Level</c:v>
          </c:tx>
          <c:xVal>
            <c:numRef>
              <c:f>'BWR Sys Curve - Replace 20" Sec'!$L$8:$L$49</c:f>
              <c:numCache>
                <c:formatCode>General</c:formatCode>
                <c:ptCount val="42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  <c:pt idx="20">
                  <c:v>10000</c:v>
                </c:pt>
                <c:pt idx="21">
                  <c:v>10500</c:v>
                </c:pt>
                <c:pt idx="22">
                  <c:v>10800</c:v>
                </c:pt>
                <c:pt idx="23">
                  <c:v>11000</c:v>
                </c:pt>
                <c:pt idx="24">
                  <c:v>11500</c:v>
                </c:pt>
                <c:pt idx="25">
                  <c:v>12000</c:v>
                </c:pt>
                <c:pt idx="26">
                  <c:v>12500</c:v>
                </c:pt>
                <c:pt idx="27">
                  <c:v>13000</c:v>
                </c:pt>
                <c:pt idx="28">
                  <c:v>13500</c:v>
                </c:pt>
                <c:pt idx="29">
                  <c:v>14000</c:v>
                </c:pt>
                <c:pt idx="30">
                  <c:v>14500</c:v>
                </c:pt>
                <c:pt idx="31">
                  <c:v>15000</c:v>
                </c:pt>
                <c:pt idx="32">
                  <c:v>15500</c:v>
                </c:pt>
                <c:pt idx="33">
                  <c:v>16000</c:v>
                </c:pt>
                <c:pt idx="34">
                  <c:v>16500</c:v>
                </c:pt>
                <c:pt idx="35">
                  <c:v>17000</c:v>
                </c:pt>
                <c:pt idx="36">
                  <c:v>17500</c:v>
                </c:pt>
                <c:pt idx="37">
                  <c:v>18000</c:v>
                </c:pt>
                <c:pt idx="38">
                  <c:v>18500</c:v>
                </c:pt>
                <c:pt idx="39">
                  <c:v>19000</c:v>
                </c:pt>
                <c:pt idx="40">
                  <c:v>19500</c:v>
                </c:pt>
                <c:pt idx="41">
                  <c:v>20000</c:v>
                </c:pt>
              </c:numCache>
            </c:numRef>
          </c:xVal>
          <c:yVal>
            <c:numRef>
              <c:f>'BWR Sys Curve - Replace 20" Sec'!$Y$8:$Y$49</c:f>
              <c:numCache>
                <c:formatCode>0.0</c:formatCode>
                <c:ptCount val="42"/>
                <c:pt idx="0">
                  <c:v>23.680000000000291</c:v>
                </c:pt>
                <c:pt idx="1">
                  <c:v>23.741365437470481</c:v>
                </c:pt>
                <c:pt idx="2">
                  <c:v>0</c:v>
                </c:pt>
                <c:pt idx="3">
                  <c:v>24.168305142648908</c:v>
                </c:pt>
                <c:pt idx="4">
                  <c:v>24.521281431699663</c:v>
                </c:pt>
                <c:pt idx="5">
                  <c:v>24.963223932919959</c:v>
                </c:pt>
                <c:pt idx="6">
                  <c:v>25.492144307126093</c:v>
                </c:pt>
                <c:pt idx="7">
                  <c:v>26.106472298746496</c:v>
                </c:pt>
                <c:pt idx="8">
                  <c:v>26.804915987880662</c:v>
                </c:pt>
                <c:pt idx="9">
                  <c:v>27.586381528705708</c:v>
                </c:pt>
                <c:pt idx="10">
                  <c:v>28.449922886865938</c:v>
                </c:pt>
                <c:pt idx="11">
                  <c:v>29.394708335363724</c:v>
                </c:pt>
                <c:pt idx="12">
                  <c:v>30.419997037645341</c:v>
                </c:pt>
                <c:pt idx="13">
                  <c:v>31.52512205923404</c:v>
                </c:pt>
                <c:pt idx="14">
                  <c:v>32.709477665977701</c:v>
                </c:pt>
                <c:pt idx="15">
                  <c:v>33.972509587870334</c:v>
                </c:pt>
                <c:pt idx="16">
                  <c:v>35.313707398231074</c:v>
                </c:pt>
                <c:pt idx="17">
                  <c:v>36.732598441246367</c:v>
                </c:pt>
                <c:pt idx="18">
                  <c:v>38.228742918189866</c:v>
                </c:pt>
                <c:pt idx="19">
                  <c:v>39.801729857471372</c:v>
                </c:pt>
                <c:pt idx="20">
                  <c:v>41.451173770251216</c:v>
                </c:pt>
                <c:pt idx="21">
                  <c:v>43.176711845751029</c:v>
                </c:pt>
                <c:pt idx="22">
                  <c:v>44.24841662445516</c:v>
                </c:pt>
                <c:pt idx="23">
                  <c:v>44.978001577049604</c:v>
                </c:pt>
                <c:pt idx="24">
                  <c:v>46.854718734315782</c:v>
                </c:pt>
                <c:pt idx="25">
                  <c:v>48.806555621438008</c:v>
                </c:pt>
                <c:pt idx="26">
                  <c:v>50.833219566041521</c:v>
                </c:pt>
                <c:pt idx="27">
                  <c:v>52.934431603393577</c:v>
                </c:pt>
                <c:pt idx="28">
                  <c:v>55.109925322669277</c:v>
                </c:pt>
                <c:pt idx="29">
                  <c:v>57.359445850177025</c:v>
                </c:pt>
                <c:pt idx="30">
                  <c:v>59.682748948893568</c:v>
                </c:pt>
                <c:pt idx="31">
                  <c:v>62.079600217391196</c:v>
                </c:pt>
                <c:pt idx="32">
                  <c:v>64.549774374187194</c:v>
                </c:pt>
                <c:pt idx="33">
                  <c:v>67.093054615906937</c:v>
                </c:pt>
                <c:pt idx="34">
                  <c:v>69.709232039543721</c:v>
                </c:pt>
                <c:pt idx="35">
                  <c:v>72.398105120641858</c:v>
                </c:pt>
                <c:pt idx="36">
                  <c:v>75.159479240480863</c:v>
                </c:pt>
                <c:pt idx="37">
                  <c:v>77.993166256373684</c:v>
                </c:pt>
                <c:pt idx="38">
                  <c:v>80.898984110044296</c:v>
                </c:pt>
                <c:pt idx="39">
                  <c:v>83.876756469759187</c:v>
                </c:pt>
                <c:pt idx="40">
                  <c:v>86.92631240248194</c:v>
                </c:pt>
                <c:pt idx="41">
                  <c:v>90.047486072818032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73-4223-99BB-81A8804775DF}"/>
            </c:ext>
          </c:extLst>
        </c:ser>
        <c:ser>
          <c:idx val="1"/>
          <c:order val="1"/>
          <c:tx>
            <c:v>System Curve Max. Operating Level</c:v>
          </c:tx>
          <c:xVal>
            <c:numRef>
              <c:f>'BWR Sys Curve - Replace 20" Sec'!$L$8:$L$49</c:f>
              <c:numCache>
                <c:formatCode>General</c:formatCode>
                <c:ptCount val="42"/>
                <c:pt idx="0">
                  <c:v>0</c:v>
                </c:pt>
                <c:pt idx="1">
                  <c:v>500</c:v>
                </c:pt>
                <c:pt idx="2">
                  <c:v>1000</c:v>
                </c:pt>
                <c:pt idx="3">
                  <c:v>1500</c:v>
                </c:pt>
                <c:pt idx="4">
                  <c:v>2000</c:v>
                </c:pt>
                <c:pt idx="5">
                  <c:v>2500</c:v>
                </c:pt>
                <c:pt idx="6">
                  <c:v>3000</c:v>
                </c:pt>
                <c:pt idx="7">
                  <c:v>3500</c:v>
                </c:pt>
                <c:pt idx="8">
                  <c:v>4000</c:v>
                </c:pt>
                <c:pt idx="9">
                  <c:v>4500</c:v>
                </c:pt>
                <c:pt idx="10">
                  <c:v>5000</c:v>
                </c:pt>
                <c:pt idx="11">
                  <c:v>5500</c:v>
                </c:pt>
                <c:pt idx="12">
                  <c:v>6000</c:v>
                </c:pt>
                <c:pt idx="13">
                  <c:v>6500</c:v>
                </c:pt>
                <c:pt idx="14">
                  <c:v>7000</c:v>
                </c:pt>
                <c:pt idx="15">
                  <c:v>7500</c:v>
                </c:pt>
                <c:pt idx="16">
                  <c:v>8000</c:v>
                </c:pt>
                <c:pt idx="17">
                  <c:v>8500</c:v>
                </c:pt>
                <c:pt idx="18">
                  <c:v>9000</c:v>
                </c:pt>
                <c:pt idx="19">
                  <c:v>9500</c:v>
                </c:pt>
                <c:pt idx="20">
                  <c:v>10000</c:v>
                </c:pt>
                <c:pt idx="21">
                  <c:v>10500</c:v>
                </c:pt>
                <c:pt idx="22">
                  <c:v>10800</c:v>
                </c:pt>
                <c:pt idx="23">
                  <c:v>11000</c:v>
                </c:pt>
                <c:pt idx="24">
                  <c:v>11500</c:v>
                </c:pt>
                <c:pt idx="25">
                  <c:v>12000</c:v>
                </c:pt>
                <c:pt idx="26">
                  <c:v>12500</c:v>
                </c:pt>
                <c:pt idx="27">
                  <c:v>13000</c:v>
                </c:pt>
                <c:pt idx="28">
                  <c:v>13500</c:v>
                </c:pt>
                <c:pt idx="29">
                  <c:v>14000</c:v>
                </c:pt>
                <c:pt idx="30">
                  <c:v>14500</c:v>
                </c:pt>
                <c:pt idx="31">
                  <c:v>15000</c:v>
                </c:pt>
                <c:pt idx="32">
                  <c:v>15500</c:v>
                </c:pt>
                <c:pt idx="33">
                  <c:v>16000</c:v>
                </c:pt>
                <c:pt idx="34">
                  <c:v>16500</c:v>
                </c:pt>
                <c:pt idx="35">
                  <c:v>17000</c:v>
                </c:pt>
                <c:pt idx="36">
                  <c:v>17500</c:v>
                </c:pt>
                <c:pt idx="37">
                  <c:v>18000</c:v>
                </c:pt>
                <c:pt idx="38">
                  <c:v>18500</c:v>
                </c:pt>
                <c:pt idx="39">
                  <c:v>19000</c:v>
                </c:pt>
                <c:pt idx="40">
                  <c:v>19500</c:v>
                </c:pt>
                <c:pt idx="41">
                  <c:v>20000</c:v>
                </c:pt>
              </c:numCache>
            </c:numRef>
          </c:xVal>
          <c:yVal>
            <c:numRef>
              <c:f>'BWR Sys Curve - Replace 20" Sec'!$Z$8:$Z$49</c:f>
              <c:numCache>
                <c:formatCode>0.0</c:formatCode>
                <c:ptCount val="42"/>
                <c:pt idx="0">
                  <c:v>16.013333333333321</c:v>
                </c:pt>
                <c:pt idx="1">
                  <c:v>16.065716169594456</c:v>
                </c:pt>
                <c:pt idx="2">
                  <c:v>0</c:v>
                </c:pt>
                <c:pt idx="3">
                  <c:v>16.426524957152647</c:v>
                </c:pt>
                <c:pt idx="4">
                  <c:v>16.723481106985428</c:v>
                </c:pt>
                <c:pt idx="5">
                  <c:v>17.094461967713301</c:v>
                </c:pt>
                <c:pt idx="6">
                  <c:v>17.537657260377955</c:v>
                </c:pt>
                <c:pt idx="7">
                  <c:v>18.051637349309765</c:v>
                </c:pt>
                <c:pt idx="8">
                  <c:v>18.635226008927663</c:v>
                </c:pt>
                <c:pt idx="9">
                  <c:v>19.287427349751123</c:v>
                </c:pt>
                <c:pt idx="10">
                  <c:v>20.007380056918983</c:v>
                </c:pt>
                <c:pt idx="11">
                  <c:v>20.794326886448331</c:v>
                </c:pt>
                <c:pt idx="12">
                  <c:v>21.647593345357414</c:v>
                </c:pt>
                <c:pt idx="13">
                  <c:v>22.566572224645022</c:v>
                </c:pt>
                <c:pt idx="14">
                  <c:v>23.550712035008463</c:v>
                </c:pt>
                <c:pt idx="15">
                  <c:v>24.599508142561696</c:v>
                </c:pt>
                <c:pt idx="16">
                  <c:v>25.712495830475881</c:v>
                </c:pt>
                <c:pt idx="17">
                  <c:v>26.889244770323732</c:v>
                </c:pt>
                <c:pt idx="18">
                  <c:v>28.129354548339492</c:v>
                </c:pt>
                <c:pt idx="19">
                  <c:v>29.432450996358938</c:v>
                </c:pt>
                <c:pt idx="20">
                  <c:v>30.798183146931031</c:v>
                </c:pt>
                <c:pt idx="21">
                  <c:v>32.226220679794864</c:v>
                </c:pt>
                <c:pt idx="22">
                  <c:v>33.112819347986601</c:v>
                </c:pt>
                <c:pt idx="23">
                  <c:v>33.716251760290831</c:v>
                </c:pt>
                <c:pt idx="24">
                  <c:v>35.26798119409505</c:v>
                </c:pt>
                <c:pt idx="25">
                  <c:v>36.881128839971623</c:v>
                </c:pt>
                <c:pt idx="26">
                  <c:v>38.555428235012172</c:v>
                </c:pt>
                <c:pt idx="27">
                  <c:v>40.290625396400351</c:v>
                </c:pt>
                <c:pt idx="28">
                  <c:v>42.086477770997035</c:v>
                </c:pt>
                <c:pt idx="29">
                  <c:v>43.94275330962035</c:v>
                </c:pt>
                <c:pt idx="30">
                  <c:v>45.859229647219266</c:v>
                </c:pt>
                <c:pt idx="31">
                  <c:v>47.835693373538689</c:v>
                </c:pt>
                <c:pt idx="32">
                  <c:v>49.87193938155707</c:v>
                </c:pt>
                <c:pt idx="33">
                  <c:v>51.967770283127344</c:v>
                </c:pt>
                <c:pt idx="34">
                  <c:v>54.122995882974756</c:v>
                </c:pt>
                <c:pt idx="35">
                  <c:v>56.337432703609792</c:v>
                </c:pt>
                <c:pt idx="36">
                  <c:v>58.610903554854119</c:v>
                </c:pt>
                <c:pt idx="37">
                  <c:v>60.943237142619495</c:v>
                </c:pt>
                <c:pt idx="38">
                  <c:v>63.334267712356137</c:v>
                </c:pt>
                <c:pt idx="39">
                  <c:v>65.783834723232019</c:v>
                </c:pt>
                <c:pt idx="40">
                  <c:v>68.291782549646854</c:v>
                </c:pt>
                <c:pt idx="41">
                  <c:v>70.857960207136927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73-4223-99BB-81A880477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149824"/>
        <c:axId val="732146688"/>
      </c:scatterChart>
      <c:valAx>
        <c:axId val="732149824"/>
        <c:scaling>
          <c:orientation val="minMax"/>
        </c:scaling>
        <c:delete val="0"/>
        <c:axPos val="b"/>
        <c:majorGridlines>
          <c:spPr>
            <a:ln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Flow (GPM)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732146688"/>
        <c:crosses val="autoZero"/>
        <c:crossBetween val="midCat"/>
      </c:valAx>
      <c:valAx>
        <c:axId val="732146688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>
                  <a:lumMod val="50000"/>
                  <a:lumOff val="50000"/>
                </a:schemeClr>
              </a:solidFill>
              <a:prstDash val="sys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TDH (ft)</a:t>
                </a:r>
              </a:p>
            </c:rich>
          </c:tx>
          <c:layout/>
          <c:overlay val="0"/>
        </c:title>
        <c:numFmt formatCode="General" sourceLinked="0"/>
        <c:majorTickMark val="in"/>
        <c:minorTickMark val="none"/>
        <c:tickLblPos val="nextTo"/>
        <c:crossAx val="732149824"/>
        <c:crosses val="autoZero"/>
        <c:crossBetween val="midCat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2" workbookViewId="0" zoomToFit="1"/>
  </sheetViews>
  <sheetProtection algorithmName="SHA-512" hashValue="bvnkIkiCjpGKSM6PCr95hHWxv5OQlrL/DC8rM0gIhtFyk5KxqEAo39xGeVc5JgstH322q3x6qRZlxfEJ4kWLjA==" saltValue="212CAuCHvBFslsr3Yp1AyQ==" spinCount="100000" content="1" objects="1"/>
  <customSheetViews>
    <customSheetView guid="{DD12DCA6-AC95-44E9-85FD-88104CF4D155}" scale="112" zoomToFit="1">
      <pageMargins left="0.7" right="0.7" top="0.75" bottom="0.75" header="0.3" footer="0.3"/>
      <pageSetup orientation="landscape" r:id="rId1"/>
    </customSheetView>
  </customSheetViews>
  <pageMargins left="0.7" right="0.7" top="0.75" bottom="0.75" header="0.3" footer="0.3"/>
  <pageSetup orientation="landscape" r:id="rId2"/>
  <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409575</xdr:colOff>
      <xdr:row>35</xdr:row>
      <xdr:rowOff>64704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8334375" cy="660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538655</xdr:colOff>
      <xdr:row>8</xdr:row>
      <xdr:rowOff>177362</xdr:rowOff>
    </xdr:from>
    <xdr:to>
      <xdr:col>10</xdr:col>
      <xdr:colOff>538655</xdr:colOff>
      <xdr:row>27</xdr:row>
      <xdr:rowOff>85397</xdr:rowOff>
    </xdr:to>
    <xdr:cxnSp macro="">
      <xdr:nvCxnSpPr>
        <xdr:cNvPr id="4" name="Straight Connector 3"/>
        <xdr:cNvCxnSpPr/>
      </xdr:nvCxnSpPr>
      <xdr:spPr>
        <a:xfrm>
          <a:off x="6647793" y="1701362"/>
          <a:ext cx="0" cy="352753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512379</xdr:colOff>
      <xdr:row>26</xdr:row>
      <xdr:rowOff>19707</xdr:rowOff>
    </xdr:from>
    <xdr:to>
      <xdr:col>9</xdr:col>
      <xdr:colOff>512379</xdr:colOff>
      <xdr:row>27</xdr:row>
      <xdr:rowOff>26276</xdr:rowOff>
    </xdr:to>
    <xdr:cxnSp macro="">
      <xdr:nvCxnSpPr>
        <xdr:cNvPr id="6" name="Straight Connector 5"/>
        <xdr:cNvCxnSpPr/>
      </xdr:nvCxnSpPr>
      <xdr:spPr>
        <a:xfrm>
          <a:off x="6010603" y="5031828"/>
          <a:ext cx="0" cy="197069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328448</xdr:colOff>
      <xdr:row>26</xdr:row>
      <xdr:rowOff>6569</xdr:rowOff>
    </xdr:from>
    <xdr:to>
      <xdr:col>11</xdr:col>
      <xdr:colOff>328448</xdr:colOff>
      <xdr:row>27</xdr:row>
      <xdr:rowOff>13138</xdr:rowOff>
    </xdr:to>
    <xdr:cxnSp macro="">
      <xdr:nvCxnSpPr>
        <xdr:cNvPr id="9" name="Straight Connector 8"/>
        <xdr:cNvCxnSpPr/>
      </xdr:nvCxnSpPr>
      <xdr:spPr>
        <a:xfrm>
          <a:off x="7048500" y="5018690"/>
          <a:ext cx="0" cy="197069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413845</xdr:colOff>
      <xdr:row>26</xdr:row>
      <xdr:rowOff>26276</xdr:rowOff>
    </xdr:from>
    <xdr:to>
      <xdr:col>10</xdr:col>
      <xdr:colOff>413845</xdr:colOff>
      <xdr:row>26</xdr:row>
      <xdr:rowOff>183931</xdr:rowOff>
    </xdr:to>
    <xdr:cxnSp macro="">
      <xdr:nvCxnSpPr>
        <xdr:cNvPr id="11" name="Straight Connector 10"/>
        <xdr:cNvCxnSpPr/>
      </xdr:nvCxnSpPr>
      <xdr:spPr>
        <a:xfrm>
          <a:off x="6522983" y="5038397"/>
          <a:ext cx="0" cy="157655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269765</xdr:colOff>
      <xdr:row>16</xdr:row>
      <xdr:rowOff>171669</xdr:rowOff>
    </xdr:from>
    <xdr:to>
      <xdr:col>12</xdr:col>
      <xdr:colOff>425450</xdr:colOff>
      <xdr:row>17</xdr:row>
      <xdr:rowOff>19050</xdr:rowOff>
    </xdr:to>
    <xdr:cxnSp macro="">
      <xdr:nvCxnSpPr>
        <xdr:cNvPr id="14" name="Straight Connector 13"/>
        <xdr:cNvCxnSpPr/>
      </xdr:nvCxnSpPr>
      <xdr:spPr>
        <a:xfrm flipH="1" flipV="1">
          <a:off x="879365" y="3276819"/>
          <a:ext cx="6861285" cy="3788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205169</xdr:colOff>
      <xdr:row>17</xdr:row>
      <xdr:rowOff>174953</xdr:rowOff>
    </xdr:from>
    <xdr:to>
      <xdr:col>12</xdr:col>
      <xdr:colOff>361950</xdr:colOff>
      <xdr:row>18</xdr:row>
      <xdr:rowOff>0</xdr:rowOff>
    </xdr:to>
    <xdr:cxnSp macro="">
      <xdr:nvCxnSpPr>
        <xdr:cNvPr id="18" name="Straight Connector 17"/>
        <xdr:cNvCxnSpPr/>
      </xdr:nvCxnSpPr>
      <xdr:spPr>
        <a:xfrm flipH="1" flipV="1">
          <a:off x="814769" y="3470603"/>
          <a:ext cx="6862381" cy="15547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279400</xdr:colOff>
      <xdr:row>15</xdr:row>
      <xdr:rowOff>51019</xdr:rowOff>
    </xdr:from>
    <xdr:to>
      <xdr:col>12</xdr:col>
      <xdr:colOff>438150</xdr:colOff>
      <xdr:row>15</xdr:row>
      <xdr:rowOff>82550</xdr:rowOff>
    </xdr:to>
    <xdr:cxnSp macro="">
      <xdr:nvCxnSpPr>
        <xdr:cNvPr id="10" name="Straight Connector 9"/>
        <xdr:cNvCxnSpPr/>
      </xdr:nvCxnSpPr>
      <xdr:spPr>
        <a:xfrm flipH="1" flipV="1">
          <a:off x="889000" y="2965669"/>
          <a:ext cx="6864350" cy="3153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260350</xdr:colOff>
      <xdr:row>13</xdr:row>
      <xdr:rowOff>127219</xdr:rowOff>
    </xdr:from>
    <xdr:to>
      <xdr:col>12</xdr:col>
      <xdr:colOff>431800</xdr:colOff>
      <xdr:row>13</xdr:row>
      <xdr:rowOff>152400</xdr:rowOff>
    </xdr:to>
    <xdr:cxnSp macro="">
      <xdr:nvCxnSpPr>
        <xdr:cNvPr id="12" name="Straight Connector 11"/>
        <xdr:cNvCxnSpPr/>
      </xdr:nvCxnSpPr>
      <xdr:spPr>
        <a:xfrm flipH="1" flipV="1">
          <a:off x="869950" y="2660869"/>
          <a:ext cx="6877050" cy="25181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39</xdr:row>
      <xdr:rowOff>0</xdr:rowOff>
    </xdr:from>
    <xdr:to>
      <xdr:col>15</xdr:col>
      <xdr:colOff>522667</xdr:colOff>
      <xdr:row>77</xdr:row>
      <xdr:rowOff>37190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486650"/>
          <a:ext cx="9666667" cy="72761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43142</xdr:colOff>
      <xdr:row>53</xdr:row>
      <xdr:rowOff>117381</xdr:rowOff>
    </xdr:from>
    <xdr:to>
      <xdr:col>23</xdr:col>
      <xdr:colOff>43143</xdr:colOff>
      <xdr:row>69</xdr:row>
      <xdr:rowOff>150719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166406</xdr:colOff>
      <xdr:row>56</xdr:row>
      <xdr:rowOff>83763</xdr:rowOff>
    </xdr:from>
    <xdr:to>
      <xdr:col>40</xdr:col>
      <xdr:colOff>166408</xdr:colOff>
      <xdr:row>72</xdr:row>
      <xdr:rowOff>117101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166406</xdr:colOff>
      <xdr:row>56</xdr:row>
      <xdr:rowOff>83763</xdr:rowOff>
    </xdr:from>
    <xdr:to>
      <xdr:col>47</xdr:col>
      <xdr:colOff>166408</xdr:colOff>
      <xdr:row>72</xdr:row>
      <xdr:rowOff>117101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166406</xdr:colOff>
      <xdr:row>56</xdr:row>
      <xdr:rowOff>83763</xdr:rowOff>
    </xdr:from>
    <xdr:to>
      <xdr:col>47</xdr:col>
      <xdr:colOff>166408</xdr:colOff>
      <xdr:row>72</xdr:row>
      <xdr:rowOff>117101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57545" cy="628479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0.05725</cdr:x>
      <cdr:y>0.01527</cdr:y>
    </cdr:from>
    <cdr:to>
      <cdr:x>0.93998</cdr:x>
      <cdr:y>0.13104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496261" y="96049"/>
          <a:ext cx="7652016" cy="7283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Bellvue WTP Backwash Recovery Pump Station</a:t>
          </a:r>
        </a:p>
        <a:p xmlns:a="http://schemas.openxmlformats.org/drawingml/2006/main">
          <a:pPr algn="ctr"/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Pump</a:t>
          </a:r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 and System Curve</a:t>
          </a:r>
        </a:p>
        <a:p xmlns:a="http://schemas.openxmlformats.org/drawingml/2006/main">
          <a:pPr algn="ctr"/>
          <a:r>
            <a:rPr lang="en-US" sz="1400" b="1" baseline="0">
              <a:latin typeface="Arial" panose="020B0604020202020204" pitchFamily="34" charset="0"/>
              <a:cs typeface="Arial" panose="020B0604020202020204" pitchFamily="34" charset="0"/>
            </a:rPr>
            <a:t>Existing Flowserve Model 28 MKM  </a:t>
          </a:r>
          <a:r>
            <a:rPr lang="en-US" sz="1400" b="1"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39</xdr:row>
      <xdr:rowOff>0</xdr:rowOff>
    </xdr:from>
    <xdr:ext cx="6401881" cy="430476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05450"/>
          <a:ext cx="6401881" cy="430476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66</xdr:row>
      <xdr:rowOff>0</xdr:rowOff>
    </xdr:from>
    <xdr:ext cx="6384747" cy="8504762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877425"/>
          <a:ext cx="6384747" cy="8504762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2706</xdr:rowOff>
    </xdr:from>
    <xdr:to>
      <xdr:col>20</xdr:col>
      <xdr:colOff>571500</xdr:colOff>
      <xdr:row>45</xdr:row>
      <xdr:rowOff>148065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4206"/>
          <a:ext cx="12694227" cy="81463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432954</xdr:colOff>
      <xdr:row>27</xdr:row>
      <xdr:rowOff>25977</xdr:rowOff>
    </xdr:from>
    <xdr:to>
      <xdr:col>16</xdr:col>
      <xdr:colOff>216477</xdr:colOff>
      <xdr:row>29</xdr:row>
      <xdr:rowOff>25977</xdr:rowOff>
    </xdr:to>
    <xdr:sp macro="" textlink="">
      <xdr:nvSpPr>
        <xdr:cNvPr id="3" name="TextBox 2"/>
        <xdr:cNvSpPr txBox="1"/>
      </xdr:nvSpPr>
      <xdr:spPr>
        <a:xfrm>
          <a:off x="8918863" y="5169477"/>
          <a:ext cx="995796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8.4</a:t>
          </a:r>
        </a:p>
      </xdr:txBody>
    </xdr:sp>
    <xdr:clientData/>
  </xdr:twoCellAnchor>
  <xdr:twoCellAnchor>
    <xdr:from>
      <xdr:col>16</xdr:col>
      <xdr:colOff>320386</xdr:colOff>
      <xdr:row>20</xdr:row>
      <xdr:rowOff>89297</xdr:rowOff>
    </xdr:from>
    <xdr:to>
      <xdr:col>18</xdr:col>
      <xdr:colOff>103909</xdr:colOff>
      <xdr:row>22</xdr:row>
      <xdr:rowOff>89297</xdr:rowOff>
    </xdr:to>
    <xdr:sp macro="" textlink="">
      <xdr:nvSpPr>
        <xdr:cNvPr id="5" name="TextBox 4"/>
        <xdr:cNvSpPr txBox="1"/>
      </xdr:nvSpPr>
      <xdr:spPr>
        <a:xfrm>
          <a:off x="10018568" y="3899297"/>
          <a:ext cx="995796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6.4</a:t>
          </a:r>
        </a:p>
      </xdr:txBody>
    </xdr:sp>
    <xdr:clientData/>
  </xdr:twoCellAnchor>
  <xdr:twoCellAnchor>
    <xdr:from>
      <xdr:col>15</xdr:col>
      <xdr:colOff>585354</xdr:colOff>
      <xdr:row>24</xdr:row>
      <xdr:rowOff>33880</xdr:rowOff>
    </xdr:from>
    <xdr:to>
      <xdr:col>17</xdr:col>
      <xdr:colOff>368877</xdr:colOff>
      <xdr:row>26</xdr:row>
      <xdr:rowOff>33880</xdr:rowOff>
    </xdr:to>
    <xdr:sp macro="" textlink="">
      <xdr:nvSpPr>
        <xdr:cNvPr id="6" name="TextBox 5"/>
        <xdr:cNvSpPr txBox="1"/>
      </xdr:nvSpPr>
      <xdr:spPr>
        <a:xfrm>
          <a:off x="9677399" y="4605880"/>
          <a:ext cx="995796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7.4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</xdr:row>
      <xdr:rowOff>28575</xdr:rowOff>
    </xdr:from>
    <xdr:to>
      <xdr:col>15</xdr:col>
      <xdr:colOff>513190</xdr:colOff>
      <xdr:row>34</xdr:row>
      <xdr:rowOff>180170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219075"/>
          <a:ext cx="9276190" cy="6438095"/>
        </a:xfrm>
        <a:prstGeom prst="rect">
          <a:avLst/>
        </a:prstGeom>
      </xdr:spPr>
    </xdr:pic>
    <xdr:clientData/>
  </xdr:twoCellAnchor>
  <xdr:twoCellAnchor>
    <xdr:from>
      <xdr:col>10</xdr:col>
      <xdr:colOff>85725</xdr:colOff>
      <xdr:row>18</xdr:row>
      <xdr:rowOff>133350</xdr:rowOff>
    </xdr:from>
    <xdr:to>
      <xdr:col>14</xdr:col>
      <xdr:colOff>19050</xdr:colOff>
      <xdr:row>18</xdr:row>
      <xdr:rowOff>152400</xdr:rowOff>
    </xdr:to>
    <xdr:cxnSp macro="">
      <xdr:nvCxnSpPr>
        <xdr:cNvPr id="4" name="Straight Connector 3"/>
        <xdr:cNvCxnSpPr/>
      </xdr:nvCxnSpPr>
      <xdr:spPr>
        <a:xfrm>
          <a:off x="6181725" y="3562350"/>
          <a:ext cx="2371725" cy="190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590550</xdr:colOff>
      <xdr:row>19</xdr:row>
      <xdr:rowOff>171450</xdr:rowOff>
    </xdr:from>
    <xdr:to>
      <xdr:col>14</xdr:col>
      <xdr:colOff>457200</xdr:colOff>
      <xdr:row>24</xdr:row>
      <xdr:rowOff>66675</xdr:rowOff>
    </xdr:to>
    <xdr:sp macro="" textlink="">
      <xdr:nvSpPr>
        <xdr:cNvPr id="5" name="TextBox 4"/>
        <xdr:cNvSpPr txBox="1"/>
      </xdr:nvSpPr>
      <xdr:spPr>
        <a:xfrm>
          <a:off x="6686550" y="3790950"/>
          <a:ext cx="2305050" cy="8477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Low Water Level is 5186.75</a:t>
          </a:r>
          <a:r>
            <a:rPr lang="en-US" sz="1100" baseline="0"/>
            <a:t> - Translated to the new Datum (+3.32 ft) = 5190.7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haney\AppData\Local\Microsoft\Windows\INetCache\Content.Outlook\YLCS0XYQ\PSDesignSpreadsheet10-29-20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wworking\east01\d0214336\PS%2029%20Pump-System%20Curve-PJH%204-27-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Cover &amp; Summary"/>
      <sheetName val="Tributary Flow Calculation - NA"/>
      <sheetName val="Design Pumping Flow Rate - NA "/>
      <sheetName val="Cycle Time &amp; Wet Well Geometry"/>
      <sheetName val="Force Main &amp; Piping Design"/>
      <sheetName val="Pump Selection"/>
      <sheetName val="System Curve"/>
      <sheetName val="Operational Check"/>
      <sheetName val="Buoyancy Calculations"/>
    </sheetNames>
    <sheetDataSet>
      <sheetData sheetId="0" refreshError="1"/>
      <sheetData sheetId="1" refreshError="1"/>
      <sheetData sheetId="2" refreshError="1"/>
      <sheetData sheetId="3">
        <row r="27">
          <cell r="F27">
            <v>575</v>
          </cell>
        </row>
      </sheetData>
      <sheetData sheetId="4">
        <row r="5">
          <cell r="D5">
            <v>700.8</v>
          </cell>
        </row>
      </sheetData>
      <sheetData sheetId="5">
        <row r="19">
          <cell r="E19">
            <v>6</v>
          </cell>
        </row>
      </sheetData>
      <sheetData sheetId="6">
        <row r="4">
          <cell r="H4">
            <v>8</v>
          </cell>
        </row>
        <row r="5">
          <cell r="H5">
            <v>11486.675507841785</v>
          </cell>
        </row>
        <row r="6">
          <cell r="H6">
            <v>130</v>
          </cell>
        </row>
      </sheetData>
      <sheetData sheetId="7" refreshError="1"/>
      <sheetData sheetId="8" refreshError="1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ystem Drawings-Schematics"/>
      <sheetName val="HI Standard"/>
      <sheetName val="Cycle Time &amp; Wet Well Geometry"/>
      <sheetName val="Operational Check"/>
      <sheetName val="Buoyancy Calculations"/>
      <sheetName val="Fittings"/>
      <sheetName val="System Curve Data"/>
      <sheetName val="System Curve"/>
      <sheetName val="Pentair Pump Data"/>
      <sheetName val="1 Pump Configuration"/>
    </sheetNames>
    <sheetDataSet>
      <sheetData sheetId="0" refreshError="1"/>
      <sheetData sheetId="1" refreshError="1"/>
      <sheetData sheetId="2" refreshError="1"/>
      <sheetData sheetId="3" refreshError="1">
        <row r="32">
          <cell r="G32">
            <v>23.460064786123294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tabSelected="1" view="pageBreakPreview" zoomScale="60" zoomScaleNormal="115" workbookViewId="0">
      <selection activeCell="I40" sqref="I40"/>
    </sheetView>
  </sheetViews>
  <sheetFormatPr defaultRowHeight="15" x14ac:dyDescent="0.25"/>
  <cols>
    <col min="1" max="1" width="22.5703125" customWidth="1"/>
    <col min="2" max="2" width="11.140625" customWidth="1"/>
    <col min="3" max="3" width="11.5703125" bestFit="1" customWidth="1"/>
    <col min="4" max="4" width="12.42578125" customWidth="1"/>
    <col min="6" max="6" width="21.85546875" customWidth="1"/>
    <col min="7" max="7" width="12.85546875" bestFit="1" customWidth="1"/>
  </cols>
  <sheetData>
    <row r="1" spans="1:11" ht="15.75" thickBot="1" x14ac:dyDescent="0.3">
      <c r="A1" t="s">
        <v>228</v>
      </c>
      <c r="E1" s="119" t="s">
        <v>109</v>
      </c>
      <c r="F1" s="119"/>
      <c r="G1" s="119"/>
      <c r="H1" s="119"/>
    </row>
    <row r="2" spans="1:11" ht="18" x14ac:dyDescent="0.35">
      <c r="A2" s="120" t="s">
        <v>0</v>
      </c>
      <c r="B2" s="23"/>
      <c r="C2" s="24"/>
      <c r="E2" t="s">
        <v>110</v>
      </c>
      <c r="G2">
        <f>600*18</f>
        <v>10800</v>
      </c>
      <c r="H2" t="s">
        <v>8</v>
      </c>
    </row>
    <row r="3" spans="1:11" x14ac:dyDescent="0.25">
      <c r="A3" s="121"/>
      <c r="B3" s="111" t="s">
        <v>100</v>
      </c>
      <c r="C3" s="112"/>
    </row>
    <row r="4" spans="1:11" x14ac:dyDescent="0.25">
      <c r="A4" s="122"/>
      <c r="B4" s="21" t="s">
        <v>107</v>
      </c>
      <c r="C4" s="25" t="s">
        <v>108</v>
      </c>
      <c r="E4" s="20"/>
      <c r="F4" s="20"/>
      <c r="G4" s="20"/>
      <c r="H4" s="20"/>
      <c r="I4" s="20"/>
      <c r="J4" s="20"/>
      <c r="K4" s="20"/>
    </row>
    <row r="5" spans="1:11" x14ac:dyDescent="0.25">
      <c r="A5" s="26">
        <v>104</v>
      </c>
      <c r="B5" s="22">
        <v>0</v>
      </c>
      <c r="C5" s="25">
        <f>B5*2</f>
        <v>0</v>
      </c>
      <c r="E5" s="20"/>
      <c r="F5" s="20"/>
      <c r="G5" s="20"/>
      <c r="H5" s="20"/>
      <c r="I5" s="20"/>
      <c r="J5" s="20"/>
      <c r="K5" s="20"/>
    </row>
    <row r="6" spans="1:11" x14ac:dyDescent="0.25">
      <c r="A6" s="26">
        <v>94</v>
      </c>
      <c r="B6" s="22">
        <v>1000</v>
      </c>
      <c r="C6" s="25">
        <f t="shared" ref="C6:C12" si="0">B6*2</f>
        <v>2000</v>
      </c>
      <c r="E6" s="20"/>
      <c r="F6" s="20"/>
      <c r="G6" s="20"/>
      <c r="H6" s="20"/>
      <c r="I6" s="20"/>
      <c r="J6" s="20"/>
      <c r="K6" s="20"/>
    </row>
    <row r="7" spans="1:11" x14ac:dyDescent="0.25">
      <c r="A7" s="26">
        <v>86</v>
      </c>
      <c r="B7" s="22">
        <v>2000</v>
      </c>
      <c r="C7" s="25">
        <f t="shared" si="0"/>
        <v>4000</v>
      </c>
      <c r="E7" s="20"/>
      <c r="F7" s="20"/>
      <c r="G7" s="20"/>
      <c r="H7" s="20"/>
      <c r="I7" s="20"/>
      <c r="J7" s="20"/>
      <c r="K7" s="20"/>
    </row>
    <row r="8" spans="1:11" x14ac:dyDescent="0.25">
      <c r="A8" s="26">
        <v>79</v>
      </c>
      <c r="B8" s="22">
        <v>3000</v>
      </c>
      <c r="C8" s="25">
        <f t="shared" si="0"/>
        <v>6000</v>
      </c>
      <c r="E8" s="20"/>
      <c r="F8" s="20"/>
      <c r="G8" s="20"/>
      <c r="H8" s="20"/>
      <c r="I8" s="20"/>
      <c r="J8" s="20"/>
      <c r="K8" s="20"/>
    </row>
    <row r="9" spans="1:11" x14ac:dyDescent="0.25">
      <c r="A9" s="26">
        <v>72</v>
      </c>
      <c r="B9" s="22">
        <v>4000</v>
      </c>
      <c r="C9" s="25">
        <f t="shared" si="0"/>
        <v>8000</v>
      </c>
      <c r="E9" s="20"/>
      <c r="F9" s="20"/>
      <c r="G9" s="20"/>
      <c r="H9" s="20"/>
      <c r="I9" s="20"/>
      <c r="J9" s="20"/>
      <c r="K9" s="20"/>
    </row>
    <row r="10" spans="1:11" x14ac:dyDescent="0.25">
      <c r="A10" s="26">
        <v>68</v>
      </c>
      <c r="B10" s="22">
        <v>5000</v>
      </c>
      <c r="C10" s="25">
        <f t="shared" si="0"/>
        <v>10000</v>
      </c>
      <c r="E10" s="20"/>
      <c r="F10" s="20"/>
      <c r="G10" s="109"/>
      <c r="H10" s="20"/>
      <c r="I10" s="20"/>
      <c r="J10" s="20"/>
      <c r="K10" s="20"/>
    </row>
    <row r="11" spans="1:11" x14ac:dyDescent="0.25">
      <c r="A11" s="26">
        <v>64</v>
      </c>
      <c r="B11" s="22">
        <v>6000</v>
      </c>
      <c r="C11" s="25">
        <f t="shared" si="0"/>
        <v>12000</v>
      </c>
      <c r="E11" s="20"/>
      <c r="F11" s="20"/>
      <c r="G11" s="20"/>
      <c r="H11" s="20"/>
      <c r="I11" s="20"/>
      <c r="J11" s="20"/>
      <c r="K11" s="20"/>
    </row>
    <row r="12" spans="1:11" x14ac:dyDescent="0.25">
      <c r="A12" s="26">
        <v>62</v>
      </c>
      <c r="B12" s="22">
        <v>7000</v>
      </c>
      <c r="C12" s="25">
        <f t="shared" si="0"/>
        <v>14000</v>
      </c>
      <c r="E12" s="20"/>
      <c r="F12" s="20"/>
      <c r="G12" s="20"/>
      <c r="H12" s="20"/>
      <c r="I12" s="20"/>
      <c r="J12" s="20"/>
      <c r="K12" s="20"/>
    </row>
    <row r="13" spans="1:11" x14ac:dyDescent="0.25">
      <c r="A13" s="26">
        <v>58</v>
      </c>
      <c r="B13" s="22">
        <v>8000</v>
      </c>
      <c r="C13" s="25">
        <f t="shared" ref="C13:C18" si="1">B13*2</f>
        <v>16000</v>
      </c>
      <c r="E13" s="20"/>
      <c r="F13" s="20"/>
      <c r="G13" s="20"/>
      <c r="H13" s="20"/>
      <c r="I13" s="20"/>
      <c r="J13" s="20"/>
      <c r="K13" s="20"/>
    </row>
    <row r="14" spans="1:11" x14ac:dyDescent="0.25">
      <c r="A14" s="26">
        <v>56</v>
      </c>
      <c r="B14" s="22">
        <v>8600</v>
      </c>
      <c r="C14" s="25">
        <f t="shared" si="1"/>
        <v>17200</v>
      </c>
      <c r="E14" s="20"/>
      <c r="F14" s="20"/>
      <c r="G14" s="20"/>
      <c r="H14" s="20"/>
      <c r="I14" s="20"/>
      <c r="J14" s="20"/>
      <c r="K14" s="20"/>
    </row>
    <row r="15" spans="1:11" x14ac:dyDescent="0.25">
      <c r="A15" s="26">
        <v>52</v>
      </c>
      <c r="B15" s="22">
        <v>9000</v>
      </c>
      <c r="C15" s="25">
        <f t="shared" si="1"/>
        <v>18000</v>
      </c>
      <c r="E15" s="20"/>
      <c r="F15" s="20"/>
      <c r="G15" s="109"/>
      <c r="H15" s="20"/>
      <c r="I15" s="20"/>
      <c r="J15" s="20"/>
      <c r="K15" s="20"/>
    </row>
    <row r="16" spans="1:11" x14ac:dyDescent="0.25">
      <c r="A16" s="26">
        <v>43</v>
      </c>
      <c r="B16" s="22">
        <v>10000</v>
      </c>
      <c r="C16" s="25">
        <f t="shared" si="1"/>
        <v>20000</v>
      </c>
      <c r="E16" s="20"/>
      <c r="F16" s="20"/>
      <c r="G16" s="110"/>
      <c r="H16" s="20"/>
      <c r="I16" s="20"/>
      <c r="J16" s="20"/>
      <c r="K16" s="20"/>
    </row>
    <row r="17" spans="1:11" x14ac:dyDescent="0.25">
      <c r="A17" s="26">
        <v>32</v>
      </c>
      <c r="B17" s="42">
        <v>11000</v>
      </c>
      <c r="C17" s="43">
        <f t="shared" si="1"/>
        <v>22000</v>
      </c>
      <c r="E17" s="20"/>
      <c r="F17" s="20"/>
      <c r="G17" s="20"/>
      <c r="H17" s="20"/>
      <c r="I17" s="20"/>
      <c r="J17" s="20"/>
      <c r="K17" s="20"/>
    </row>
    <row r="18" spans="1:11" ht="15.75" thickBot="1" x14ac:dyDescent="0.3">
      <c r="A18" s="27">
        <v>28</v>
      </c>
      <c r="B18" s="28">
        <v>11200</v>
      </c>
      <c r="C18" s="29">
        <f t="shared" si="1"/>
        <v>22400</v>
      </c>
      <c r="E18" s="20"/>
      <c r="F18" s="20"/>
      <c r="G18" s="20"/>
      <c r="H18" s="20"/>
      <c r="I18" s="20"/>
      <c r="J18" s="20"/>
      <c r="K18" s="20"/>
    </row>
    <row r="19" spans="1:11" ht="15.75" thickBot="1" x14ac:dyDescent="0.3"/>
    <row r="20" spans="1:11" x14ac:dyDescent="0.25">
      <c r="A20" s="123" t="s">
        <v>0</v>
      </c>
      <c r="B20" s="124"/>
      <c r="C20" s="124"/>
      <c r="D20" s="124"/>
      <c r="E20" s="113" t="s">
        <v>100</v>
      </c>
      <c r="F20" s="114"/>
    </row>
    <row r="21" spans="1:11" x14ac:dyDescent="0.25">
      <c r="A21" s="125"/>
      <c r="B21" s="126"/>
      <c r="C21" s="126"/>
      <c r="D21" s="126"/>
      <c r="E21" s="115"/>
      <c r="F21" s="116"/>
    </row>
    <row r="22" spans="1:11" x14ac:dyDescent="0.25">
      <c r="A22" s="125"/>
      <c r="B22" s="126"/>
      <c r="C22" s="126"/>
      <c r="D22" s="126"/>
      <c r="E22" s="117"/>
      <c r="F22" s="118"/>
    </row>
    <row r="23" spans="1:11" ht="15" hidden="1" customHeight="1" x14ac:dyDescent="0.25">
      <c r="A23" s="67"/>
      <c r="B23" s="66"/>
      <c r="C23" s="66"/>
      <c r="D23" s="66"/>
      <c r="E23" s="111" t="s">
        <v>100</v>
      </c>
      <c r="F23" s="112"/>
    </row>
    <row r="24" spans="1:11" ht="15" hidden="1" customHeight="1" x14ac:dyDescent="0.25">
      <c r="A24" s="67"/>
      <c r="B24" s="66"/>
      <c r="C24" s="66"/>
      <c r="D24" s="66"/>
      <c r="E24" s="21" t="s">
        <v>107</v>
      </c>
      <c r="F24" s="65" t="s">
        <v>108</v>
      </c>
    </row>
    <row r="25" spans="1:11" ht="15" hidden="1" customHeight="1" x14ac:dyDescent="0.25">
      <c r="A25" s="67"/>
      <c r="B25" s="66"/>
      <c r="C25" s="66"/>
      <c r="D25" s="66"/>
      <c r="E25" s="64">
        <v>0</v>
      </c>
      <c r="F25" s="65">
        <f>E25*2</f>
        <v>0</v>
      </c>
    </row>
    <row r="26" spans="1:11" ht="15" hidden="1" customHeight="1" x14ac:dyDescent="0.25">
      <c r="A26" s="67"/>
      <c r="B26" s="66"/>
      <c r="C26" s="66"/>
      <c r="D26" s="66"/>
      <c r="E26" s="64">
        <v>1000</v>
      </c>
      <c r="F26" s="65">
        <f t="shared" ref="F26:F36" si="2">E26*2</f>
        <v>2000</v>
      </c>
    </row>
    <row r="27" spans="1:11" ht="15" hidden="1" customHeight="1" x14ac:dyDescent="0.25">
      <c r="A27" s="67"/>
      <c r="B27" s="66"/>
      <c r="C27" s="66"/>
      <c r="D27" s="66"/>
      <c r="E27" s="64">
        <v>2000</v>
      </c>
      <c r="F27" s="65">
        <f t="shared" si="2"/>
        <v>4000</v>
      </c>
    </row>
    <row r="28" spans="1:11" ht="15" hidden="1" customHeight="1" x14ac:dyDescent="0.25">
      <c r="A28" s="67"/>
      <c r="B28" s="66"/>
      <c r="C28" s="66"/>
      <c r="D28" s="66"/>
      <c r="E28" s="64">
        <v>3000</v>
      </c>
      <c r="F28" s="65">
        <f t="shared" si="2"/>
        <v>6000</v>
      </c>
    </row>
    <row r="29" spans="1:11" ht="15" hidden="1" customHeight="1" x14ac:dyDescent="0.25">
      <c r="A29" s="67"/>
      <c r="B29" s="66"/>
      <c r="C29" s="66"/>
      <c r="D29" s="66"/>
      <c r="E29" s="64">
        <v>4000</v>
      </c>
      <c r="F29" s="65">
        <f t="shared" si="2"/>
        <v>8000</v>
      </c>
    </row>
    <row r="30" spans="1:11" ht="15" hidden="1" customHeight="1" x14ac:dyDescent="0.25">
      <c r="A30" s="67"/>
      <c r="B30" s="66"/>
      <c r="C30" s="66"/>
      <c r="D30" s="66"/>
      <c r="E30" s="64">
        <v>5000</v>
      </c>
      <c r="F30" s="65">
        <f t="shared" si="2"/>
        <v>10000</v>
      </c>
    </row>
    <row r="31" spans="1:11" ht="15" hidden="1" customHeight="1" x14ac:dyDescent="0.25">
      <c r="A31" s="67"/>
      <c r="B31" s="66"/>
      <c r="C31" s="66"/>
      <c r="D31" s="66"/>
      <c r="E31" s="64">
        <v>6000</v>
      </c>
      <c r="F31" s="65">
        <f t="shared" si="2"/>
        <v>12000</v>
      </c>
    </row>
    <row r="32" spans="1:11" ht="15" hidden="1" customHeight="1" x14ac:dyDescent="0.25">
      <c r="A32" s="67"/>
      <c r="B32" s="66"/>
      <c r="C32" s="66"/>
      <c r="D32" s="66"/>
      <c r="E32" s="64">
        <v>7000</v>
      </c>
      <c r="F32" s="65">
        <f t="shared" si="2"/>
        <v>14000</v>
      </c>
    </row>
    <row r="33" spans="1:6" ht="15" hidden="1" customHeight="1" x14ac:dyDescent="0.25">
      <c r="A33" s="67"/>
      <c r="B33" s="66"/>
      <c r="C33" s="66"/>
      <c r="D33" s="66"/>
      <c r="E33" s="64">
        <v>8000</v>
      </c>
      <c r="F33" s="65">
        <f t="shared" si="2"/>
        <v>16000</v>
      </c>
    </row>
    <row r="34" spans="1:6" ht="15" hidden="1" customHeight="1" x14ac:dyDescent="0.25">
      <c r="A34" s="67"/>
      <c r="B34" s="66"/>
      <c r="C34" s="66"/>
      <c r="D34" s="66"/>
      <c r="E34" s="64">
        <v>8600</v>
      </c>
      <c r="F34" s="65">
        <f t="shared" si="2"/>
        <v>17200</v>
      </c>
    </row>
    <row r="35" spans="1:6" ht="15" hidden="1" customHeight="1" x14ac:dyDescent="0.25">
      <c r="A35" s="67"/>
      <c r="B35" s="66"/>
      <c r="C35" s="66"/>
      <c r="D35" s="66"/>
      <c r="E35" s="64">
        <v>9000</v>
      </c>
      <c r="F35" s="65">
        <f t="shared" si="2"/>
        <v>18000</v>
      </c>
    </row>
    <row r="36" spans="1:6" ht="15" hidden="1" customHeight="1" x14ac:dyDescent="0.25">
      <c r="A36" s="67"/>
      <c r="B36" s="66"/>
      <c r="C36" s="66"/>
      <c r="D36" s="66"/>
      <c r="E36" s="64">
        <v>10000</v>
      </c>
      <c r="F36" s="65">
        <f t="shared" si="2"/>
        <v>20000</v>
      </c>
    </row>
    <row r="37" spans="1:6" x14ac:dyDescent="0.25">
      <c r="A37" s="67" t="s">
        <v>194</v>
      </c>
      <c r="B37" s="66" t="s">
        <v>195</v>
      </c>
      <c r="C37" s="66" t="s">
        <v>196</v>
      </c>
      <c r="D37" s="66" t="s">
        <v>197</v>
      </c>
      <c r="E37" s="21" t="s">
        <v>107</v>
      </c>
      <c r="F37" s="65" t="s">
        <v>108</v>
      </c>
    </row>
    <row r="38" spans="1:6" x14ac:dyDescent="0.25">
      <c r="A38" s="68">
        <v>104</v>
      </c>
      <c r="B38" s="77">
        <f>A38*SQRT(50/60)</f>
        <v>94.938576634228795</v>
      </c>
      <c r="C38" s="77">
        <f>A38*SQRT(40/60)</f>
        <v>84.915644416483502</v>
      </c>
      <c r="D38" s="77">
        <f>A38*SQRT(35/60)</f>
        <v>79.431312045901237</v>
      </c>
      <c r="E38" s="71">
        <v>0</v>
      </c>
      <c r="F38" s="72">
        <f>E38*2</f>
        <v>0</v>
      </c>
    </row>
    <row r="39" spans="1:6" x14ac:dyDescent="0.25">
      <c r="A39" s="68">
        <v>94</v>
      </c>
      <c r="B39" s="77">
        <f t="shared" ref="B39:B51" si="3">A39*SQRT(50/60)</f>
        <v>85.809867342476025</v>
      </c>
      <c r="C39" s="77">
        <f t="shared" ref="C39:C51" si="4">A39*SQRT(40/60)</f>
        <v>76.750678607206254</v>
      </c>
      <c r="D39" s="77">
        <f t="shared" ref="D39:D51" si="5">A39*SQRT(35/60)</f>
        <v>71.793685887641502</v>
      </c>
      <c r="E39" s="71">
        <v>1000</v>
      </c>
      <c r="F39" s="72">
        <f t="shared" ref="F39:F51" si="6">E39*2</f>
        <v>2000</v>
      </c>
    </row>
    <row r="40" spans="1:6" x14ac:dyDescent="0.25">
      <c r="A40" s="68">
        <v>86</v>
      </c>
      <c r="B40" s="77">
        <f t="shared" si="3"/>
        <v>78.506899909073809</v>
      </c>
      <c r="C40" s="77">
        <f t="shared" si="4"/>
        <v>70.218705959784444</v>
      </c>
      <c r="D40" s="77">
        <f t="shared" si="5"/>
        <v>65.683584961033716</v>
      </c>
      <c r="E40" s="71">
        <v>2000</v>
      </c>
      <c r="F40" s="72">
        <f t="shared" si="6"/>
        <v>4000</v>
      </c>
    </row>
    <row r="41" spans="1:6" x14ac:dyDescent="0.25">
      <c r="A41" s="68">
        <v>79</v>
      </c>
      <c r="B41" s="77">
        <f t="shared" si="3"/>
        <v>72.116803404846877</v>
      </c>
      <c r="C41" s="77">
        <f t="shared" si="4"/>
        <v>64.503229893290353</v>
      </c>
      <c r="D41" s="77">
        <f t="shared" si="5"/>
        <v>60.337246650251899</v>
      </c>
      <c r="E41" s="71">
        <v>3000</v>
      </c>
      <c r="F41" s="72">
        <f t="shared" si="6"/>
        <v>6000</v>
      </c>
    </row>
    <row r="42" spans="1:6" x14ac:dyDescent="0.25">
      <c r="A42" s="68">
        <v>72</v>
      </c>
      <c r="B42" s="77">
        <f t="shared" si="3"/>
        <v>65.726706900619931</v>
      </c>
      <c r="C42" s="77">
        <f t="shared" si="4"/>
        <v>58.787753826796276</v>
      </c>
      <c r="D42" s="77">
        <f t="shared" si="5"/>
        <v>54.990908339470082</v>
      </c>
      <c r="E42" s="71">
        <v>4000</v>
      </c>
      <c r="F42" s="72">
        <f t="shared" si="6"/>
        <v>8000</v>
      </c>
    </row>
    <row r="43" spans="1:6" x14ac:dyDescent="0.25">
      <c r="A43" s="68">
        <v>68</v>
      </c>
      <c r="B43" s="77">
        <f t="shared" si="3"/>
        <v>62.07522318391883</v>
      </c>
      <c r="C43" s="77">
        <f t="shared" si="4"/>
        <v>55.521767503085371</v>
      </c>
      <c r="D43" s="77">
        <f t="shared" si="5"/>
        <v>51.935857876166189</v>
      </c>
      <c r="E43" s="71">
        <v>5000</v>
      </c>
      <c r="F43" s="72">
        <f t="shared" si="6"/>
        <v>10000</v>
      </c>
    </row>
    <row r="44" spans="1:6" x14ac:dyDescent="0.25">
      <c r="A44" s="68">
        <v>64</v>
      </c>
      <c r="B44" s="77">
        <f t="shared" si="3"/>
        <v>58.423739467217722</v>
      </c>
      <c r="C44" s="77">
        <f t="shared" si="4"/>
        <v>52.255781179374466</v>
      </c>
      <c r="D44" s="77">
        <f t="shared" si="5"/>
        <v>48.880807412862296</v>
      </c>
      <c r="E44" s="71">
        <v>6000</v>
      </c>
      <c r="F44" s="72">
        <f t="shared" si="6"/>
        <v>12000</v>
      </c>
    </row>
    <row r="45" spans="1:6" x14ac:dyDescent="0.25">
      <c r="A45" s="68">
        <v>62</v>
      </c>
      <c r="B45" s="77">
        <f t="shared" si="3"/>
        <v>56.597997608867168</v>
      </c>
      <c r="C45" s="77">
        <f t="shared" si="4"/>
        <v>50.622788017519014</v>
      </c>
      <c r="D45" s="77">
        <f t="shared" si="5"/>
        <v>47.353282181210346</v>
      </c>
      <c r="E45" s="71">
        <v>7000</v>
      </c>
      <c r="F45" s="72">
        <f t="shared" si="6"/>
        <v>14000</v>
      </c>
    </row>
    <row r="46" spans="1:6" x14ac:dyDescent="0.25">
      <c r="A46" s="68">
        <v>58</v>
      </c>
      <c r="B46" s="77">
        <f t="shared" si="3"/>
        <v>52.94651389216606</v>
      </c>
      <c r="C46" s="77">
        <f t="shared" si="4"/>
        <v>47.356801693808109</v>
      </c>
      <c r="D46" s="77">
        <f t="shared" si="5"/>
        <v>44.298231717906454</v>
      </c>
      <c r="E46" s="71">
        <v>8000</v>
      </c>
      <c r="F46" s="72">
        <f t="shared" si="6"/>
        <v>16000</v>
      </c>
    </row>
    <row r="47" spans="1:6" x14ac:dyDescent="0.25">
      <c r="A47" s="68">
        <v>56</v>
      </c>
      <c r="B47" s="77">
        <f t="shared" si="3"/>
        <v>51.120772033815506</v>
      </c>
      <c r="C47" s="77">
        <f t="shared" si="4"/>
        <v>45.723808531952656</v>
      </c>
      <c r="D47" s="77">
        <f t="shared" si="5"/>
        <v>42.770706486254511</v>
      </c>
      <c r="E47" s="71">
        <v>8600</v>
      </c>
      <c r="F47" s="72">
        <f t="shared" si="6"/>
        <v>17200</v>
      </c>
    </row>
    <row r="48" spans="1:6" x14ac:dyDescent="0.25">
      <c r="A48" s="68">
        <v>52</v>
      </c>
      <c r="B48" s="77">
        <f t="shared" si="3"/>
        <v>47.469288317114398</v>
      </c>
      <c r="C48" s="77">
        <f t="shared" si="4"/>
        <v>42.457822208241751</v>
      </c>
      <c r="D48" s="77">
        <f t="shared" si="5"/>
        <v>39.715656022950618</v>
      </c>
      <c r="E48" s="71">
        <v>9000</v>
      </c>
      <c r="F48" s="72">
        <f t="shared" si="6"/>
        <v>18000</v>
      </c>
    </row>
    <row r="49" spans="1:6" x14ac:dyDescent="0.25">
      <c r="A49" s="68">
        <v>43</v>
      </c>
      <c r="B49" s="77">
        <f t="shared" si="3"/>
        <v>39.253449954536904</v>
      </c>
      <c r="C49" s="77">
        <f t="shared" si="4"/>
        <v>35.109352979892222</v>
      </c>
      <c r="D49" s="77">
        <f t="shared" si="5"/>
        <v>32.841792480516858</v>
      </c>
      <c r="E49" s="71">
        <v>10000</v>
      </c>
      <c r="F49" s="72">
        <f t="shared" si="6"/>
        <v>20000</v>
      </c>
    </row>
    <row r="50" spans="1:6" ht="15.75" thickBot="1" x14ac:dyDescent="0.3">
      <c r="A50" s="69">
        <v>32</v>
      </c>
      <c r="B50" s="78">
        <f t="shared" si="3"/>
        <v>29.211869733608861</v>
      </c>
      <c r="C50" s="78">
        <f t="shared" si="4"/>
        <v>26.127890589687233</v>
      </c>
      <c r="D50" s="78">
        <f t="shared" si="5"/>
        <v>24.440403706431148</v>
      </c>
      <c r="E50" s="73">
        <v>11000</v>
      </c>
      <c r="F50" s="74">
        <f t="shared" si="6"/>
        <v>22000</v>
      </c>
    </row>
    <row r="51" spans="1:6" ht="15.75" thickBot="1" x14ac:dyDescent="0.3">
      <c r="A51" s="70">
        <v>28</v>
      </c>
      <c r="B51" s="79">
        <f t="shared" si="3"/>
        <v>25.560386016907753</v>
      </c>
      <c r="C51" s="79">
        <f t="shared" si="4"/>
        <v>22.861904265976328</v>
      </c>
      <c r="D51" s="79">
        <f t="shared" si="5"/>
        <v>21.385353243127255</v>
      </c>
      <c r="E51" s="75">
        <v>11200</v>
      </c>
      <c r="F51" s="76">
        <f t="shared" si="6"/>
        <v>22400</v>
      </c>
    </row>
  </sheetData>
  <sheetProtection algorithmName="SHA-512" hashValue="M7sSi1AJ1vroRgbWdyAjmfHeJV4AFRXDanhXtkmxMoMSfmDq2+ZiQcLifWVUhgm2wgee1YG8DYbbGVLIr065Pw==" saltValue="cB34DYK9vzSOBiyTtMEy5g==" spinCount="100000" sheet="1" objects="1" scenarios="1" selectLockedCells="1" selectUnlockedCells="1"/>
  <customSheetViews>
    <customSheetView guid="{DD12DCA6-AC95-44E9-85FD-88104CF4D155}" scale="60" showPageBreaks="1" fitToPage="1" hiddenRows="1" view="pageBreakPreview">
      <selection activeCell="I40" sqref="I40"/>
      <pageMargins left="0.7" right="0.7" top="0.75" bottom="0.75" header="0.3" footer="0.3"/>
      <pageSetup paperSize="3" orientation="landscape" r:id="rId1"/>
    </customSheetView>
  </customSheetViews>
  <mergeCells count="6">
    <mergeCell ref="E23:F23"/>
    <mergeCell ref="E20:F22"/>
    <mergeCell ref="B3:C3"/>
    <mergeCell ref="E1:H1"/>
    <mergeCell ref="A2:A4"/>
    <mergeCell ref="A20:D22"/>
  </mergeCells>
  <pageMargins left="0.7" right="0.7" top="0.75" bottom="0.75" header="0.3" footer="0.3"/>
  <pageSetup paperSize="3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Z55"/>
  <sheetViews>
    <sheetView view="pageBreakPreview" zoomScale="60" zoomScaleNormal="85" workbookViewId="0">
      <selection activeCell="J51" sqref="J51"/>
    </sheetView>
  </sheetViews>
  <sheetFormatPr defaultRowHeight="15" x14ac:dyDescent="0.25"/>
  <cols>
    <col min="1" max="1" width="34.85546875" customWidth="1"/>
    <col min="2" max="2" width="12.85546875" customWidth="1"/>
    <col min="3" max="3" width="10.5703125" bestFit="1" customWidth="1"/>
    <col min="6" max="6" width="32.140625" bestFit="1" customWidth="1"/>
    <col min="7" max="7" width="12.42578125" customWidth="1"/>
    <col min="20" max="20" width="10.85546875" customWidth="1"/>
    <col min="21" max="22" width="11.85546875" customWidth="1"/>
  </cols>
  <sheetData>
    <row r="1" spans="1:26" x14ac:dyDescent="0.25">
      <c r="A1" s="1" t="s">
        <v>15</v>
      </c>
    </row>
    <row r="2" spans="1:26" x14ac:dyDescent="0.25">
      <c r="B2" s="3" t="s">
        <v>86</v>
      </c>
      <c r="C2">
        <f>5167.32+5</f>
        <v>5172.32</v>
      </c>
      <c r="D2" t="s">
        <v>87</v>
      </c>
      <c r="G2" t="s">
        <v>97</v>
      </c>
    </row>
    <row r="3" spans="1:26" x14ac:dyDescent="0.25">
      <c r="B3" s="3" t="s">
        <v>81</v>
      </c>
      <c r="C3">
        <f>5169.82+10+2/12</f>
        <v>5179.9866666666667</v>
      </c>
      <c r="D3" t="s">
        <v>105</v>
      </c>
      <c r="G3" t="s">
        <v>96</v>
      </c>
      <c r="H3">
        <v>5</v>
      </c>
      <c r="I3" t="s">
        <v>17</v>
      </c>
      <c r="M3" s="38" t="s">
        <v>113</v>
      </c>
    </row>
    <row r="4" spans="1:26" x14ac:dyDescent="0.25">
      <c r="B4" s="3" t="s">
        <v>103</v>
      </c>
      <c r="C4">
        <v>5196</v>
      </c>
      <c r="D4" t="s">
        <v>104</v>
      </c>
      <c r="G4" t="s">
        <v>98</v>
      </c>
      <c r="H4">
        <v>10</v>
      </c>
      <c r="I4" t="s">
        <v>17</v>
      </c>
      <c r="M4" s="38" t="s">
        <v>114</v>
      </c>
    </row>
    <row r="5" spans="1:26" x14ac:dyDescent="0.25">
      <c r="C5" s="13"/>
      <c r="D5" s="41" t="s">
        <v>115</v>
      </c>
      <c r="G5" t="s">
        <v>99</v>
      </c>
      <c r="H5">
        <v>10.199999999999999</v>
      </c>
      <c r="I5" t="s">
        <v>17</v>
      </c>
    </row>
    <row r="6" spans="1:26" ht="30" x14ac:dyDescent="0.25">
      <c r="A6" s="1" t="s">
        <v>16</v>
      </c>
      <c r="D6" s="39" t="s">
        <v>116</v>
      </c>
      <c r="L6" s="4" t="s">
        <v>18</v>
      </c>
      <c r="M6" s="4"/>
      <c r="N6" s="12" t="s">
        <v>73</v>
      </c>
      <c r="O6" s="12" t="s">
        <v>72</v>
      </c>
      <c r="P6" s="12" t="s">
        <v>71</v>
      </c>
      <c r="Q6" s="12" t="s">
        <v>70</v>
      </c>
      <c r="R6" s="12" t="s">
        <v>74</v>
      </c>
      <c r="S6" s="12" t="s">
        <v>75</v>
      </c>
      <c r="T6" s="12" t="s">
        <v>76</v>
      </c>
      <c r="U6" s="12" t="s">
        <v>77</v>
      </c>
      <c r="V6" s="17" t="s">
        <v>106</v>
      </c>
      <c r="W6" s="12" t="s">
        <v>83</v>
      </c>
      <c r="X6" s="12" t="s">
        <v>82</v>
      </c>
      <c r="Y6" s="11" t="s">
        <v>84</v>
      </c>
      <c r="Z6" s="14" t="s">
        <v>85</v>
      </c>
    </row>
    <row r="7" spans="1:26" x14ac:dyDescent="0.25">
      <c r="A7" t="s">
        <v>79</v>
      </c>
      <c r="C7" s="13">
        <f>C4-C2+C5</f>
        <v>23.680000000000291</v>
      </c>
      <c r="L7" s="4" t="s">
        <v>8</v>
      </c>
      <c r="M7" s="4" t="s">
        <v>19</v>
      </c>
      <c r="N7" s="4" t="s">
        <v>20</v>
      </c>
      <c r="O7" s="4" t="s">
        <v>20</v>
      </c>
      <c r="P7" s="4" t="s">
        <v>21</v>
      </c>
      <c r="Q7" s="4" t="s">
        <v>21</v>
      </c>
      <c r="R7" s="4" t="s">
        <v>17</v>
      </c>
      <c r="S7" s="4" t="s">
        <v>17</v>
      </c>
      <c r="T7" s="4" t="s">
        <v>17</v>
      </c>
      <c r="U7" s="4" t="s">
        <v>17</v>
      </c>
      <c r="V7" s="18" t="s">
        <v>17</v>
      </c>
      <c r="W7" s="4" t="s">
        <v>17</v>
      </c>
      <c r="X7" s="4" t="s">
        <v>17</v>
      </c>
      <c r="Y7" s="4" t="s">
        <v>17</v>
      </c>
      <c r="Z7" s="4" t="s">
        <v>17</v>
      </c>
    </row>
    <row r="8" spans="1:26" x14ac:dyDescent="0.25">
      <c r="A8" t="s">
        <v>80</v>
      </c>
      <c r="C8" s="13">
        <f>C4-C3+C5</f>
        <v>16.013333333333321</v>
      </c>
      <c r="L8" s="4">
        <v>0</v>
      </c>
      <c r="M8" s="7">
        <f>L8*0.00223</f>
        <v>0</v>
      </c>
      <c r="N8" s="7">
        <f>$C$19^2*PI()/4/144</f>
        <v>3.1415926535897931</v>
      </c>
      <c r="O8" s="7">
        <f>$H$19^2*PI()/4/144</f>
        <v>3.1415926535897931</v>
      </c>
      <c r="P8" s="8">
        <f>M8/N8</f>
        <v>0</v>
      </c>
      <c r="Q8" s="8">
        <f>M8/O8</f>
        <v>0</v>
      </c>
      <c r="R8" s="8">
        <f t="shared" ref="R8:R53" si="0">$C$55*(P8^2)/(2*32.2)</f>
        <v>0</v>
      </c>
      <c r="S8" s="8">
        <f t="shared" ref="S8:S53" si="1">$H$55*(Q8^2)/(2*32.2)</f>
        <v>0</v>
      </c>
      <c r="T8" s="8">
        <f>$C$18*($C$19^-4.87)*10.44*(L8/$C$20)^1.85</f>
        <v>0</v>
      </c>
      <c r="U8" s="8">
        <f>$H$18*($H$19^-4.87)*10.5*(L8/$H$20)^1.85</f>
        <v>0</v>
      </c>
      <c r="V8" s="19">
        <f t="shared" ref="V8:V53" si="2">S8+U8</f>
        <v>0</v>
      </c>
      <c r="W8" s="8">
        <f>$C$7</f>
        <v>23.680000000000291</v>
      </c>
      <c r="X8" s="8">
        <f>$C$8</f>
        <v>16.013333333333321</v>
      </c>
      <c r="Y8" s="8">
        <f t="shared" ref="Y8:Y53" si="3">SUM(R8:W8)</f>
        <v>23.680000000000291</v>
      </c>
      <c r="Z8" s="15">
        <f>SUM(R8:U8,X8)</f>
        <v>16.013333333333321</v>
      </c>
    </row>
    <row r="9" spans="1:26" x14ac:dyDescent="0.25">
      <c r="L9" s="4">
        <v>500</v>
      </c>
      <c r="M9" s="7">
        <f t="shared" ref="M9:M53" si="4">L9*0.00223</f>
        <v>1.1150000000000002</v>
      </c>
      <c r="N9" s="7">
        <f t="shared" ref="N9:N53" si="5">$C$19^2*PI()/4/144</f>
        <v>3.1415926535897931</v>
      </c>
      <c r="O9" s="7">
        <f t="shared" ref="O9:O53" si="6">$H$19^2*PI()/4/144</f>
        <v>3.1415926535897931</v>
      </c>
      <c r="P9" s="8">
        <f t="shared" ref="P9:P53" si="7">M9/N9</f>
        <v>0.35491552309492669</v>
      </c>
      <c r="Q9" s="8">
        <f t="shared" ref="Q9:Q53" si="8">M9/O9</f>
        <v>0.35491552309492669</v>
      </c>
      <c r="R9" s="8">
        <f t="shared" si="0"/>
        <v>4.987745695047373E-3</v>
      </c>
      <c r="S9" s="8">
        <f t="shared" si="1"/>
        <v>4.7921478246533578E-3</v>
      </c>
      <c r="T9" s="8">
        <f t="shared" ref="T9:T53" si="9">$C$18*($C$19^-4.87)*10.5*(L9/$C$20)^1.85</f>
        <v>3.8412489357029234E-2</v>
      </c>
      <c r="U9" s="8">
        <f t="shared" ref="U9:U53" si="10">$H$18*($H$19^-4.87)*10.5*(L9/$H$20)^1.85</f>
        <v>4.1904533844031883E-3</v>
      </c>
      <c r="V9" s="19">
        <f t="shared" si="2"/>
        <v>8.9826012090565462E-3</v>
      </c>
      <c r="W9" s="8">
        <f t="shared" ref="W9:W53" si="11">$C$7</f>
        <v>23.680000000000291</v>
      </c>
      <c r="X9" s="8">
        <f t="shared" ref="X9:X53" si="12">$C$8</f>
        <v>16.013333333333321</v>
      </c>
      <c r="Y9" s="8">
        <f t="shared" si="3"/>
        <v>23.741365437470481</v>
      </c>
      <c r="Z9" s="15">
        <f t="shared" ref="Z9:Z53" si="13">SUM(R9:U9,X9)</f>
        <v>16.065716169594456</v>
      </c>
    </row>
    <row r="10" spans="1:26" x14ac:dyDescent="0.25">
      <c r="A10" s="1" t="s">
        <v>22</v>
      </c>
      <c r="L10" s="4">
        <v>1000</v>
      </c>
      <c r="M10" s="7">
        <f t="shared" si="4"/>
        <v>2.2300000000000004</v>
      </c>
      <c r="N10" s="7">
        <f t="shared" si="5"/>
        <v>3.1415926535897931</v>
      </c>
      <c r="O10" s="7">
        <f t="shared" si="6"/>
        <v>3.1415926535897931</v>
      </c>
      <c r="P10" s="8" t="e">
        <f>M19:M20M10/N10</f>
        <v>#NAME?</v>
      </c>
      <c r="Q10" s="8">
        <f t="shared" si="8"/>
        <v>0.70983104618985338</v>
      </c>
      <c r="R10" s="8" t="e">
        <f t="shared" si="0"/>
        <v>#NAME?</v>
      </c>
      <c r="S10" s="8">
        <f t="shared" si="1"/>
        <v>1.9168591298613431E-2</v>
      </c>
      <c r="T10" s="8">
        <f t="shared" si="9"/>
        <v>0.1384770952122247</v>
      </c>
      <c r="U10" s="8">
        <f t="shared" si="10"/>
        <v>1.5106592204969967E-2</v>
      </c>
      <c r="V10" s="19">
        <f t="shared" si="2"/>
        <v>3.4275183503583398E-2</v>
      </c>
      <c r="W10" s="8">
        <f t="shared" si="11"/>
        <v>23.680000000000291</v>
      </c>
      <c r="X10" s="8">
        <f t="shared" si="12"/>
        <v>16.013333333333321</v>
      </c>
      <c r="Y10" s="8" t="e">
        <f t="shared" si="3"/>
        <v>#NAME?</v>
      </c>
      <c r="Z10" s="15" t="e">
        <f t="shared" si="13"/>
        <v>#NAME?</v>
      </c>
    </row>
    <row r="11" spans="1:26" x14ac:dyDescent="0.25">
      <c r="A11" t="s">
        <v>23</v>
      </c>
      <c r="C11" t="s">
        <v>24</v>
      </c>
      <c r="D11" t="s">
        <v>25</v>
      </c>
      <c r="L11" s="4">
        <v>1500</v>
      </c>
      <c r="M11" s="7">
        <f t="shared" si="4"/>
        <v>3.3450000000000002</v>
      </c>
      <c r="N11" s="7">
        <f t="shared" si="5"/>
        <v>3.1415926535897931</v>
      </c>
      <c r="O11" s="7">
        <f t="shared" si="6"/>
        <v>3.1415926535897931</v>
      </c>
      <c r="P11" s="8">
        <f t="shared" si="7"/>
        <v>1.06474656928478</v>
      </c>
      <c r="Q11" s="8">
        <f t="shared" si="8"/>
        <v>1.06474656928478</v>
      </c>
      <c r="R11" s="8">
        <f t="shared" si="0"/>
        <v>4.4889711255426352E-2</v>
      </c>
      <c r="S11" s="8">
        <f t="shared" si="1"/>
        <v>4.3129330421880219E-2</v>
      </c>
      <c r="T11" s="8">
        <f t="shared" si="9"/>
        <v>0.2931883937346067</v>
      </c>
      <c r="U11" s="8">
        <f t="shared" si="10"/>
        <v>3.1984188407411636E-2</v>
      </c>
      <c r="V11" s="19">
        <f t="shared" si="2"/>
        <v>7.5113518829291848E-2</v>
      </c>
      <c r="W11" s="8">
        <f t="shared" si="11"/>
        <v>23.680000000000291</v>
      </c>
      <c r="X11" s="8">
        <f t="shared" si="12"/>
        <v>16.013333333333321</v>
      </c>
      <c r="Y11" s="8">
        <f t="shared" si="3"/>
        <v>24.168305142648908</v>
      </c>
      <c r="Z11" s="15">
        <f t="shared" si="13"/>
        <v>16.426524957152647</v>
      </c>
    </row>
    <row r="12" spans="1:26" x14ac:dyDescent="0.25">
      <c r="A12" t="s">
        <v>26</v>
      </c>
      <c r="C12" t="s">
        <v>27</v>
      </c>
      <c r="D12" t="s">
        <v>28</v>
      </c>
      <c r="L12" s="4">
        <v>2000</v>
      </c>
      <c r="M12" s="7">
        <f t="shared" si="4"/>
        <v>4.4600000000000009</v>
      </c>
      <c r="N12" s="7">
        <f>$C$19^2*PI()/4/144</f>
        <v>3.1415926535897931</v>
      </c>
      <c r="O12" s="7">
        <f t="shared" si="6"/>
        <v>3.1415926535897931</v>
      </c>
      <c r="P12" s="8">
        <f t="shared" si="7"/>
        <v>1.4196620923797068</v>
      </c>
      <c r="Q12" s="8">
        <f t="shared" si="8"/>
        <v>1.4196620923797068</v>
      </c>
      <c r="R12" s="8">
        <f t="shared" si="0"/>
        <v>7.9803931120757968E-2</v>
      </c>
      <c r="S12" s="8">
        <f t="shared" si="1"/>
        <v>7.6674365194453725E-2</v>
      </c>
      <c r="T12" s="8">
        <f t="shared" si="9"/>
        <v>0.49921018448408633</v>
      </c>
      <c r="U12" s="8">
        <f t="shared" si="10"/>
        <v>5.4459292852809413E-2</v>
      </c>
      <c r="V12" s="19">
        <f t="shared" si="2"/>
        <v>0.13113365804726312</v>
      </c>
      <c r="W12" s="8">
        <f t="shared" si="11"/>
        <v>23.680000000000291</v>
      </c>
      <c r="X12" s="8">
        <f t="shared" si="12"/>
        <v>16.013333333333321</v>
      </c>
      <c r="Y12" s="8">
        <f t="shared" si="3"/>
        <v>24.521281431699663</v>
      </c>
      <c r="Z12" s="15">
        <f t="shared" si="13"/>
        <v>16.723481106985428</v>
      </c>
    </row>
    <row r="13" spans="1:26" x14ac:dyDescent="0.25">
      <c r="A13" t="s">
        <v>29</v>
      </c>
      <c r="C13" t="s">
        <v>30</v>
      </c>
      <c r="D13" t="s">
        <v>30</v>
      </c>
      <c r="L13" s="4">
        <v>2500</v>
      </c>
      <c r="M13" s="7">
        <f t="shared" si="4"/>
        <v>5.5750000000000002</v>
      </c>
      <c r="N13" s="7">
        <f t="shared" si="5"/>
        <v>3.1415926535897931</v>
      </c>
      <c r="O13" s="7">
        <f t="shared" si="6"/>
        <v>3.1415926535897931</v>
      </c>
      <c r="P13" s="8">
        <f t="shared" si="7"/>
        <v>1.7745776154746331</v>
      </c>
      <c r="Q13" s="8">
        <f t="shared" si="8"/>
        <v>1.7745776154746331</v>
      </c>
      <c r="R13" s="8">
        <f t="shared" si="0"/>
        <v>0.1246936423761843</v>
      </c>
      <c r="S13" s="8">
        <f t="shared" si="1"/>
        <v>0.11980369561633392</v>
      </c>
      <c r="T13" s="8">
        <f t="shared" si="9"/>
        <v>0.75433969346410323</v>
      </c>
      <c r="U13" s="8">
        <f t="shared" si="10"/>
        <v>8.2291602923356702E-2</v>
      </c>
      <c r="V13" s="19">
        <f t="shared" si="2"/>
        <v>0.2020952985396906</v>
      </c>
      <c r="W13" s="8">
        <f t="shared" si="11"/>
        <v>23.680000000000291</v>
      </c>
      <c r="X13" s="8">
        <f t="shared" si="12"/>
        <v>16.013333333333321</v>
      </c>
      <c r="Y13" s="8">
        <f t="shared" si="3"/>
        <v>24.963223932919959</v>
      </c>
      <c r="Z13" s="15">
        <f t="shared" si="13"/>
        <v>17.094461967713301</v>
      </c>
    </row>
    <row r="14" spans="1:26" x14ac:dyDescent="0.25">
      <c r="A14" t="s">
        <v>31</v>
      </c>
      <c r="C14" t="s">
        <v>32</v>
      </c>
      <c r="D14" t="s">
        <v>33</v>
      </c>
      <c r="L14" s="4">
        <v>3000</v>
      </c>
      <c r="M14" s="7">
        <f t="shared" si="4"/>
        <v>6.69</v>
      </c>
      <c r="N14" s="7">
        <f t="shared" si="5"/>
        <v>3.1415926535897931</v>
      </c>
      <c r="O14" s="7">
        <f t="shared" si="6"/>
        <v>3.1415926535897931</v>
      </c>
      <c r="P14" s="8">
        <f t="shared" si="7"/>
        <v>2.1294931385695599</v>
      </c>
      <c r="Q14" s="8">
        <f t="shared" si="8"/>
        <v>2.1294931385695599</v>
      </c>
      <c r="R14" s="8">
        <f t="shared" si="0"/>
        <v>0.17955884502170541</v>
      </c>
      <c r="S14" s="8">
        <f t="shared" si="1"/>
        <v>0.17251732168752087</v>
      </c>
      <c r="T14" s="8">
        <f t="shared" si="9"/>
        <v>1.0569447019417619</v>
      </c>
      <c r="U14" s="8">
        <f t="shared" si="10"/>
        <v>0.11530305839364673</v>
      </c>
      <c r="V14" s="19">
        <f t="shared" si="2"/>
        <v>0.28782038008116761</v>
      </c>
      <c r="W14" s="8">
        <f t="shared" si="11"/>
        <v>23.680000000000291</v>
      </c>
      <c r="X14" s="8">
        <f t="shared" si="12"/>
        <v>16.013333333333321</v>
      </c>
      <c r="Y14" s="8">
        <f t="shared" si="3"/>
        <v>25.492144307126093</v>
      </c>
      <c r="Z14" s="15">
        <f t="shared" si="13"/>
        <v>17.537657260377955</v>
      </c>
    </row>
    <row r="15" spans="1:26" x14ac:dyDescent="0.25">
      <c r="L15" s="4">
        <v>3500</v>
      </c>
      <c r="M15" s="7">
        <f t="shared" si="4"/>
        <v>7.8050000000000006</v>
      </c>
      <c r="N15" s="7">
        <f>$C$19^2*PI()/4/144</f>
        <v>3.1415926535897931</v>
      </c>
      <c r="O15" s="7">
        <f t="shared" si="6"/>
        <v>3.1415926535897931</v>
      </c>
      <c r="P15" s="8">
        <f>M15/N15</f>
        <v>2.4844086616644865</v>
      </c>
      <c r="Q15" s="8">
        <f t="shared" si="8"/>
        <v>2.4844086616644865</v>
      </c>
      <c r="R15" s="8">
        <f t="shared" si="0"/>
        <v>0.24439953905732123</v>
      </c>
      <c r="S15" s="8">
        <f t="shared" si="1"/>
        <v>0.23481524340801449</v>
      </c>
      <c r="T15" s="8">
        <f t="shared" si="9"/>
        <v>1.405736194149358</v>
      </c>
      <c r="U15" s="8">
        <f t="shared" si="10"/>
        <v>0.15335303936174813</v>
      </c>
      <c r="V15" s="19">
        <f t="shared" si="2"/>
        <v>0.38816828276976262</v>
      </c>
      <c r="W15" s="8">
        <f t="shared" si="11"/>
        <v>23.680000000000291</v>
      </c>
      <c r="X15" s="8">
        <f t="shared" si="12"/>
        <v>16.013333333333321</v>
      </c>
      <c r="Y15" s="8">
        <f t="shared" si="3"/>
        <v>26.106472298746496</v>
      </c>
      <c r="Z15" s="15">
        <f t="shared" si="13"/>
        <v>18.051637349309765</v>
      </c>
    </row>
    <row r="16" spans="1:26" x14ac:dyDescent="0.25">
      <c r="A16" s="1" t="s">
        <v>69</v>
      </c>
      <c r="F16" s="1" t="s">
        <v>101</v>
      </c>
      <c r="L16" s="4">
        <v>4000</v>
      </c>
      <c r="M16" s="7">
        <f t="shared" si="4"/>
        <v>8.9200000000000017</v>
      </c>
      <c r="N16" s="7">
        <f t="shared" si="5"/>
        <v>3.1415926535897931</v>
      </c>
      <c r="O16" s="7">
        <f t="shared" si="6"/>
        <v>3.1415926535897931</v>
      </c>
      <c r="P16" s="8">
        <f t="shared" si="7"/>
        <v>2.8393241847594135</v>
      </c>
      <c r="Q16" s="8">
        <f t="shared" si="8"/>
        <v>2.8393241847594135</v>
      </c>
      <c r="R16" s="8">
        <f t="shared" si="0"/>
        <v>0.31921572448303187</v>
      </c>
      <c r="S16" s="8">
        <f t="shared" si="1"/>
        <v>0.3066974607778149</v>
      </c>
      <c r="T16" s="8">
        <f t="shared" si="9"/>
        <v>1.7996536388252824</v>
      </c>
      <c r="U16" s="8">
        <f t="shared" si="10"/>
        <v>0.19632585150821261</v>
      </c>
      <c r="V16" s="19">
        <f t="shared" si="2"/>
        <v>0.50302331228602748</v>
      </c>
      <c r="W16" s="8">
        <f t="shared" si="11"/>
        <v>23.680000000000291</v>
      </c>
      <c r="X16" s="8">
        <f t="shared" si="12"/>
        <v>16.013333333333321</v>
      </c>
      <c r="Y16" s="8">
        <f t="shared" si="3"/>
        <v>26.804915987880662</v>
      </c>
      <c r="Z16" s="15">
        <f t="shared" si="13"/>
        <v>18.635226008927663</v>
      </c>
    </row>
    <row r="17" spans="1:26" x14ac:dyDescent="0.25">
      <c r="A17" s="5" t="s">
        <v>34</v>
      </c>
      <c r="F17" s="5" t="s">
        <v>34</v>
      </c>
      <c r="L17" s="4">
        <v>4500</v>
      </c>
      <c r="M17" s="7">
        <f t="shared" si="4"/>
        <v>10.035</v>
      </c>
      <c r="N17" s="7">
        <f t="shared" si="5"/>
        <v>3.1415926535897931</v>
      </c>
      <c r="O17" s="7">
        <f t="shared" si="6"/>
        <v>3.1415926535897931</v>
      </c>
      <c r="P17" s="8">
        <f t="shared" si="7"/>
        <v>3.1942397078543396</v>
      </c>
      <c r="Q17" s="8">
        <f t="shared" si="8"/>
        <v>3.1942397078543396</v>
      </c>
      <c r="R17" s="8">
        <f t="shared" si="0"/>
        <v>0.40400740129883705</v>
      </c>
      <c r="S17" s="8">
        <f t="shared" si="1"/>
        <v>0.38816397379692191</v>
      </c>
      <c r="T17" s="8">
        <f t="shared" si="9"/>
        <v>2.2377991028313513</v>
      </c>
      <c r="U17" s="8">
        <f t="shared" si="10"/>
        <v>0.24412353849069285</v>
      </c>
      <c r="V17" s="19">
        <f t="shared" si="2"/>
        <v>0.63228751228761482</v>
      </c>
      <c r="W17" s="8">
        <f t="shared" si="11"/>
        <v>23.680000000000291</v>
      </c>
      <c r="X17" s="8">
        <f t="shared" si="12"/>
        <v>16.013333333333321</v>
      </c>
      <c r="Y17" s="8">
        <f t="shared" si="3"/>
        <v>27.586381528705708</v>
      </c>
      <c r="Z17" s="15">
        <f t="shared" si="13"/>
        <v>19.287427349751123</v>
      </c>
    </row>
    <row r="18" spans="1:26" x14ac:dyDescent="0.25">
      <c r="A18" t="s">
        <v>35</v>
      </c>
      <c r="C18" s="6">
        <f>1525-150</f>
        <v>1375</v>
      </c>
      <c r="D18" t="s">
        <v>17</v>
      </c>
      <c r="F18" t="s">
        <v>35</v>
      </c>
      <c r="H18" s="6">
        <v>150</v>
      </c>
      <c r="I18" t="s">
        <v>17</v>
      </c>
      <c r="L18" s="4">
        <v>5000</v>
      </c>
      <c r="M18" s="9">
        <f t="shared" si="4"/>
        <v>11.15</v>
      </c>
      <c r="N18" s="9">
        <f t="shared" si="5"/>
        <v>3.1415926535897931</v>
      </c>
      <c r="O18" s="9">
        <f t="shared" si="6"/>
        <v>3.1415926535897931</v>
      </c>
      <c r="P18" s="10">
        <f t="shared" si="7"/>
        <v>3.5491552309492662</v>
      </c>
      <c r="Q18" s="10">
        <f t="shared" si="8"/>
        <v>3.5491552309492662</v>
      </c>
      <c r="R18" s="10">
        <f t="shared" si="0"/>
        <v>0.4987745695047372</v>
      </c>
      <c r="S18" s="8">
        <f t="shared" si="1"/>
        <v>0.47921478246533566</v>
      </c>
      <c r="T18" s="10">
        <f t="shared" si="9"/>
        <v>2.7193959908009413</v>
      </c>
      <c r="U18" s="8">
        <f t="shared" si="10"/>
        <v>0.2966613808146481</v>
      </c>
      <c r="V18" s="19">
        <f t="shared" si="2"/>
        <v>0.77587616327998377</v>
      </c>
      <c r="W18" s="10">
        <f t="shared" si="11"/>
        <v>23.680000000000291</v>
      </c>
      <c r="X18" s="8">
        <f t="shared" si="12"/>
        <v>16.013333333333321</v>
      </c>
      <c r="Y18" s="10">
        <f t="shared" si="3"/>
        <v>28.449922886865938</v>
      </c>
      <c r="Z18" s="15">
        <f t="shared" si="13"/>
        <v>20.007380056918983</v>
      </c>
    </row>
    <row r="19" spans="1:26" x14ac:dyDescent="0.25">
      <c r="A19" t="s">
        <v>36</v>
      </c>
      <c r="C19" s="6">
        <v>24</v>
      </c>
      <c r="D19" t="s">
        <v>37</v>
      </c>
      <c r="F19" t="s">
        <v>36</v>
      </c>
      <c r="H19" s="6">
        <v>24</v>
      </c>
      <c r="I19" t="s">
        <v>37</v>
      </c>
      <c r="L19" s="4">
        <v>5500</v>
      </c>
      <c r="M19" s="7">
        <f t="shared" si="4"/>
        <v>12.265000000000001</v>
      </c>
      <c r="N19" s="7">
        <f t="shared" si="5"/>
        <v>3.1415926535897931</v>
      </c>
      <c r="O19" s="7">
        <f t="shared" si="6"/>
        <v>3.1415926535897931</v>
      </c>
      <c r="P19" s="8">
        <f t="shared" si="7"/>
        <v>3.9040707540441928</v>
      </c>
      <c r="Q19" s="8">
        <f t="shared" si="8"/>
        <v>3.9040707540441928</v>
      </c>
      <c r="R19" s="8">
        <f t="shared" si="0"/>
        <v>0.60351722910073191</v>
      </c>
      <c r="S19" s="8">
        <f t="shared" si="1"/>
        <v>0.57984988678305616</v>
      </c>
      <c r="T19" s="8">
        <f t="shared" si="9"/>
        <v>3.2437615417658554</v>
      </c>
      <c r="U19" s="8">
        <f t="shared" si="10"/>
        <v>0.35386489546536598</v>
      </c>
      <c r="V19" s="19">
        <f t="shared" si="2"/>
        <v>0.93371478224842219</v>
      </c>
      <c r="W19" s="8">
        <f t="shared" si="11"/>
        <v>23.680000000000291</v>
      </c>
      <c r="X19" s="8">
        <f t="shared" si="12"/>
        <v>16.013333333333321</v>
      </c>
      <c r="Y19" s="8">
        <f t="shared" si="3"/>
        <v>29.394708335363724</v>
      </c>
      <c r="Z19" s="15">
        <f t="shared" si="13"/>
        <v>20.794326886448331</v>
      </c>
    </row>
    <row r="20" spans="1:26" x14ac:dyDescent="0.25">
      <c r="A20" t="s">
        <v>38</v>
      </c>
      <c r="C20" s="6">
        <v>120</v>
      </c>
      <c r="F20" t="s">
        <v>38</v>
      </c>
      <c r="H20" s="6">
        <v>120</v>
      </c>
      <c r="L20" s="4">
        <v>6000</v>
      </c>
      <c r="M20" s="7">
        <f t="shared" si="4"/>
        <v>13.38</v>
      </c>
      <c r="N20" s="7">
        <f t="shared" si="5"/>
        <v>3.1415926535897931</v>
      </c>
      <c r="O20" s="7">
        <f t="shared" si="6"/>
        <v>3.1415926535897931</v>
      </c>
      <c r="P20" s="8">
        <f t="shared" si="7"/>
        <v>4.2589862771391198</v>
      </c>
      <c r="Q20" s="8">
        <f t="shared" si="8"/>
        <v>4.2589862771391198</v>
      </c>
      <c r="R20" s="8">
        <f t="shared" si="0"/>
        <v>0.71823538008682164</v>
      </c>
      <c r="S20" s="8">
        <f t="shared" si="1"/>
        <v>0.6900692867500835</v>
      </c>
      <c r="T20" s="8">
        <f t="shared" si="9"/>
        <v>3.8102876063163182</v>
      </c>
      <c r="U20" s="8">
        <f t="shared" si="10"/>
        <v>0.41566773887087105</v>
      </c>
      <c r="V20" s="19">
        <f t="shared" si="2"/>
        <v>1.1057370256209547</v>
      </c>
      <c r="W20" s="8">
        <f t="shared" si="11"/>
        <v>23.680000000000291</v>
      </c>
      <c r="X20" s="8">
        <f t="shared" si="12"/>
        <v>16.013333333333321</v>
      </c>
      <c r="Y20" s="8">
        <f t="shared" si="3"/>
        <v>30.419997037645341</v>
      </c>
      <c r="Z20" s="15">
        <f t="shared" si="13"/>
        <v>21.647593345357414</v>
      </c>
    </row>
    <row r="21" spans="1:26" x14ac:dyDescent="0.25">
      <c r="C21" s="38" t="s">
        <v>111</v>
      </c>
      <c r="H21" s="38" t="s">
        <v>112</v>
      </c>
      <c r="L21" s="4">
        <v>6500</v>
      </c>
      <c r="M21" s="7">
        <f t="shared" si="4"/>
        <v>14.495000000000001</v>
      </c>
      <c r="N21" s="7">
        <f t="shared" si="5"/>
        <v>3.1415926535897931</v>
      </c>
      <c r="O21" s="7">
        <f t="shared" si="6"/>
        <v>3.1415926535897931</v>
      </c>
      <c r="P21" s="8">
        <f t="shared" si="7"/>
        <v>4.6139018002340464</v>
      </c>
      <c r="Q21" s="8">
        <f t="shared" si="8"/>
        <v>4.6139018002340464</v>
      </c>
      <c r="R21" s="8">
        <f t="shared" si="0"/>
        <v>0.84292902246300583</v>
      </c>
      <c r="S21" s="8">
        <f t="shared" si="1"/>
        <v>0.80987298236641736</v>
      </c>
      <c r="T21" s="8">
        <f t="shared" si="9"/>
        <v>4.4184267009266414</v>
      </c>
      <c r="U21" s="8">
        <f t="shared" si="10"/>
        <v>0.48201018555563357</v>
      </c>
      <c r="V21" s="19">
        <f t="shared" si="2"/>
        <v>1.2918831679220508</v>
      </c>
      <c r="W21" s="8">
        <f t="shared" si="11"/>
        <v>23.680000000000291</v>
      </c>
      <c r="X21" s="8">
        <f t="shared" si="12"/>
        <v>16.013333333333321</v>
      </c>
      <c r="Y21" s="8">
        <f t="shared" si="3"/>
        <v>31.52512205923404</v>
      </c>
      <c r="Z21" s="15">
        <f t="shared" si="13"/>
        <v>22.566572224645022</v>
      </c>
    </row>
    <row r="22" spans="1:26" x14ac:dyDescent="0.25">
      <c r="L22" s="4">
        <v>7000</v>
      </c>
      <c r="M22" s="7">
        <f t="shared" si="4"/>
        <v>15.610000000000001</v>
      </c>
      <c r="N22" s="7">
        <f t="shared" si="5"/>
        <v>3.1415926535897931</v>
      </c>
      <c r="O22" s="7">
        <f t="shared" si="6"/>
        <v>3.1415926535897931</v>
      </c>
      <c r="P22" s="8">
        <f t="shared" si="7"/>
        <v>4.968817323328973</v>
      </c>
      <c r="Q22" s="8">
        <f t="shared" si="8"/>
        <v>4.968817323328973</v>
      </c>
      <c r="R22" s="8">
        <f t="shared" si="0"/>
        <v>0.97759815622928492</v>
      </c>
      <c r="S22" s="8">
        <f t="shared" si="1"/>
        <v>0.93926097363205796</v>
      </c>
      <c r="T22" s="8">
        <f t="shared" si="9"/>
        <v>5.0676815811435896</v>
      </c>
      <c r="U22" s="8">
        <f t="shared" si="10"/>
        <v>0.55283799067020978</v>
      </c>
      <c r="V22" s="19">
        <f t="shared" si="2"/>
        <v>1.4920989643022677</v>
      </c>
      <c r="W22" s="8">
        <f t="shared" si="11"/>
        <v>23.680000000000291</v>
      </c>
      <c r="X22" s="8">
        <f t="shared" si="12"/>
        <v>16.013333333333321</v>
      </c>
      <c r="Y22" s="8">
        <f t="shared" si="3"/>
        <v>32.709477665977701</v>
      </c>
      <c r="Z22" s="15">
        <f t="shared" si="13"/>
        <v>23.550712035008463</v>
      </c>
    </row>
    <row r="23" spans="1:26" x14ac:dyDescent="0.25">
      <c r="L23" s="4">
        <v>7500</v>
      </c>
      <c r="M23" s="7">
        <f t="shared" si="4"/>
        <v>16.725000000000001</v>
      </c>
      <c r="N23" s="7">
        <f t="shared" si="5"/>
        <v>3.1415926535897931</v>
      </c>
      <c r="O23" s="7">
        <f t="shared" si="6"/>
        <v>3.1415926535897931</v>
      </c>
      <c r="P23" s="8">
        <f t="shared" si="7"/>
        <v>5.3237328464238995</v>
      </c>
      <c r="Q23" s="8">
        <f t="shared" si="8"/>
        <v>5.3237328464238995</v>
      </c>
      <c r="R23" s="8">
        <f t="shared" si="0"/>
        <v>1.1222427813856588</v>
      </c>
      <c r="S23" s="8">
        <f t="shared" si="1"/>
        <v>1.0782332605470053</v>
      </c>
      <c r="T23" s="8">
        <f t="shared" si="9"/>
        <v>5.7575972492010532</v>
      </c>
      <c r="U23" s="8">
        <f t="shared" si="10"/>
        <v>0.62810151809466019</v>
      </c>
      <c r="V23" s="19">
        <f t="shared" si="2"/>
        <v>1.7063347786416654</v>
      </c>
      <c r="W23" s="8">
        <f t="shared" si="11"/>
        <v>23.680000000000291</v>
      </c>
      <c r="X23" s="8">
        <f t="shared" si="12"/>
        <v>16.013333333333321</v>
      </c>
      <c r="Y23" s="8">
        <f t="shared" si="3"/>
        <v>33.972509587870334</v>
      </c>
      <c r="Z23" s="15">
        <f t="shared" si="13"/>
        <v>24.599508142561696</v>
      </c>
    </row>
    <row r="24" spans="1:26" x14ac:dyDescent="0.25">
      <c r="L24" s="4">
        <v>8000</v>
      </c>
      <c r="M24" s="7">
        <f t="shared" si="4"/>
        <v>17.840000000000003</v>
      </c>
      <c r="N24" s="7">
        <f t="shared" si="5"/>
        <v>3.1415926535897931</v>
      </c>
      <c r="O24" s="7">
        <f t="shared" si="6"/>
        <v>3.1415926535897931</v>
      </c>
      <c r="P24" s="8">
        <f t="shared" si="7"/>
        <v>5.678648369518827</v>
      </c>
      <c r="Q24" s="8">
        <f t="shared" si="8"/>
        <v>5.678648369518827</v>
      </c>
      <c r="R24" s="8">
        <f t="shared" si="0"/>
        <v>1.2768628979321275</v>
      </c>
      <c r="S24" s="8">
        <f t="shared" si="1"/>
        <v>1.2267898431112596</v>
      </c>
      <c r="T24" s="8">
        <f t="shared" si="9"/>
        <v>6.4877546981222034</v>
      </c>
      <c r="U24" s="8">
        <f t="shared" si="10"/>
        <v>0.70775505797696758</v>
      </c>
      <c r="V24" s="19">
        <f t="shared" si="2"/>
        <v>1.9345449010882272</v>
      </c>
      <c r="W24" s="8">
        <f t="shared" si="11"/>
        <v>23.680000000000291</v>
      </c>
      <c r="X24" s="8">
        <f t="shared" si="12"/>
        <v>16.013333333333321</v>
      </c>
      <c r="Y24" s="8">
        <f t="shared" si="3"/>
        <v>35.313707398231074</v>
      </c>
      <c r="Z24" s="15">
        <f t="shared" si="13"/>
        <v>25.712495830475881</v>
      </c>
    </row>
    <row r="25" spans="1:26" x14ac:dyDescent="0.25">
      <c r="L25" s="4">
        <v>8500</v>
      </c>
      <c r="M25" s="7">
        <f t="shared" si="4"/>
        <v>18.955000000000002</v>
      </c>
      <c r="N25" s="7">
        <f t="shared" si="5"/>
        <v>3.1415926535897931</v>
      </c>
      <c r="O25" s="7">
        <f t="shared" si="6"/>
        <v>3.1415926535897931</v>
      </c>
      <c r="P25" s="8">
        <f t="shared" si="7"/>
        <v>6.0335638926137527</v>
      </c>
      <c r="Q25" s="8">
        <f t="shared" si="8"/>
        <v>6.0335638926137527</v>
      </c>
      <c r="R25" s="8">
        <f t="shared" si="0"/>
        <v>1.4414585058686904</v>
      </c>
      <c r="S25" s="8">
        <f t="shared" si="1"/>
        <v>1.3849307213248201</v>
      </c>
      <c r="T25" s="8">
        <f t="shared" si="9"/>
        <v>7.2577659268660577</v>
      </c>
      <c r="U25" s="8">
        <f t="shared" si="10"/>
        <v>0.79175628293084255</v>
      </c>
      <c r="V25" s="19">
        <f t="shared" si="2"/>
        <v>2.1766870042556627</v>
      </c>
      <c r="W25" s="8">
        <f t="shared" si="11"/>
        <v>23.680000000000291</v>
      </c>
      <c r="X25" s="8">
        <f t="shared" si="12"/>
        <v>16.013333333333321</v>
      </c>
      <c r="Y25" s="8">
        <f t="shared" si="3"/>
        <v>36.732598441246367</v>
      </c>
      <c r="Z25" s="15">
        <f t="shared" si="13"/>
        <v>26.889244770323732</v>
      </c>
    </row>
    <row r="26" spans="1:26" x14ac:dyDescent="0.25">
      <c r="A26" s="1" t="s">
        <v>39</v>
      </c>
      <c r="C26" t="s">
        <v>40</v>
      </c>
      <c r="F26" s="1" t="s">
        <v>39</v>
      </c>
      <c r="H26" t="s">
        <v>40</v>
      </c>
      <c r="L26" s="4">
        <v>9000</v>
      </c>
      <c r="M26" s="7">
        <f t="shared" si="4"/>
        <v>20.07</v>
      </c>
      <c r="N26" s="7">
        <f t="shared" si="5"/>
        <v>3.1415926535897931</v>
      </c>
      <c r="O26" s="7">
        <f t="shared" si="6"/>
        <v>3.1415926535897931</v>
      </c>
      <c r="P26" s="8">
        <f t="shared" si="7"/>
        <v>6.3884794157086793</v>
      </c>
      <c r="Q26" s="8">
        <f t="shared" si="8"/>
        <v>6.3884794157086793</v>
      </c>
      <c r="R26" s="8">
        <f t="shared" si="0"/>
        <v>1.6160296051953482</v>
      </c>
      <c r="S26" s="8">
        <f t="shared" si="1"/>
        <v>1.5526558951876877</v>
      </c>
      <c r="T26" s="8">
        <f t="shared" si="9"/>
        <v>8.0672699066274163</v>
      </c>
      <c r="U26" s="8">
        <f t="shared" si="10"/>
        <v>0.88006580799571799</v>
      </c>
      <c r="V26" s="19">
        <f t="shared" si="2"/>
        <v>2.4327217031834056</v>
      </c>
      <c r="W26" s="8">
        <f t="shared" si="11"/>
        <v>23.680000000000291</v>
      </c>
      <c r="X26" s="8">
        <f t="shared" si="12"/>
        <v>16.013333333333321</v>
      </c>
      <c r="Y26" s="8">
        <f t="shared" si="3"/>
        <v>38.228742918189866</v>
      </c>
      <c r="Z26" s="15">
        <f t="shared" si="13"/>
        <v>28.129354548339492</v>
      </c>
    </row>
    <row r="27" spans="1:26" x14ac:dyDescent="0.25">
      <c r="A27" t="s">
        <v>41</v>
      </c>
      <c r="D27" t="s">
        <v>42</v>
      </c>
      <c r="F27" t="s">
        <v>41</v>
      </c>
      <c r="I27" t="s">
        <v>42</v>
      </c>
      <c r="L27" s="4">
        <v>9500</v>
      </c>
      <c r="M27" s="7">
        <f t="shared" si="4"/>
        <v>21.185000000000002</v>
      </c>
      <c r="N27" s="7">
        <f t="shared" si="5"/>
        <v>3.1415926535897931</v>
      </c>
      <c r="O27" s="7">
        <f t="shared" si="6"/>
        <v>3.1415926535897931</v>
      </c>
      <c r="P27" s="8">
        <f t="shared" si="7"/>
        <v>6.7433949388036067</v>
      </c>
      <c r="Q27" s="8">
        <f t="shared" si="8"/>
        <v>6.7433949388036067</v>
      </c>
      <c r="R27" s="8">
        <f t="shared" si="0"/>
        <v>1.8005761959121014</v>
      </c>
      <c r="S27" s="8">
        <f t="shared" si="1"/>
        <v>1.7299653646998623</v>
      </c>
      <c r="T27" s="8">
        <f t="shared" si="9"/>
        <v>8.9159292726680501</v>
      </c>
      <c r="U27" s="8">
        <f t="shared" si="10"/>
        <v>0.97264682974560535</v>
      </c>
      <c r="V27" s="19">
        <f t="shared" si="2"/>
        <v>2.7026121944454675</v>
      </c>
      <c r="W27" s="8">
        <f t="shared" si="11"/>
        <v>23.680000000000291</v>
      </c>
      <c r="X27" s="8">
        <f t="shared" si="12"/>
        <v>16.013333333333321</v>
      </c>
      <c r="Y27" s="8">
        <f t="shared" si="3"/>
        <v>39.801729857471372</v>
      </c>
      <c r="Z27" s="15">
        <f t="shared" si="13"/>
        <v>29.432450996358938</v>
      </c>
    </row>
    <row r="28" spans="1:26" x14ac:dyDescent="0.25">
      <c r="A28" t="s">
        <v>102</v>
      </c>
      <c r="F28" t="s">
        <v>102</v>
      </c>
      <c r="H28">
        <v>0.15</v>
      </c>
      <c r="I28">
        <v>1</v>
      </c>
      <c r="L28" s="4">
        <v>10000</v>
      </c>
      <c r="M28" s="7">
        <f>L28*0.00223</f>
        <v>22.3</v>
      </c>
      <c r="N28" s="7">
        <f t="shared" si="5"/>
        <v>3.1415926535897931</v>
      </c>
      <c r="O28" s="7">
        <f t="shared" si="6"/>
        <v>3.1415926535897931</v>
      </c>
      <c r="P28" s="8">
        <f>M28/N28</f>
        <v>7.0983104618985324</v>
      </c>
      <c r="Q28" s="8">
        <f>M28/O28</f>
        <v>7.0983104618985324</v>
      </c>
      <c r="R28" s="8">
        <f>$C$55*(P28^2)/(2*32.2)</f>
        <v>1.9950982780189488</v>
      </c>
      <c r="S28" s="8">
        <f>$H$55*(Q28^2)/(2*32.2)</f>
        <v>1.9168591298613427</v>
      </c>
      <c r="T28" s="8">
        <f>$C$18*($C$19^-4.87)*10.5*(L28/$C$20)^1.85</f>
        <v>9.8034275789255396</v>
      </c>
      <c r="U28" s="8">
        <f>$H$18*($H$19^-4.87)*10.5*(L28/$H$20)^1.85</f>
        <v>1.0694648267918769</v>
      </c>
      <c r="V28" s="19">
        <f>S28+U28</f>
        <v>2.9863239566532194</v>
      </c>
      <c r="W28" s="8">
        <f t="shared" si="11"/>
        <v>23.680000000000291</v>
      </c>
      <c r="X28" s="8">
        <f t="shared" si="12"/>
        <v>16.013333333333321</v>
      </c>
      <c r="Y28" s="8">
        <f>SUM(R28:W28)</f>
        <v>41.451173770251216</v>
      </c>
      <c r="Z28" s="15">
        <f>SUM(R28:U28,X28)</f>
        <v>30.798183146931031</v>
      </c>
    </row>
    <row r="29" spans="1:26" x14ac:dyDescent="0.25">
      <c r="A29" t="s">
        <v>43</v>
      </c>
      <c r="C29">
        <v>5.0000000000000001E-3</v>
      </c>
      <c r="F29" t="s">
        <v>43</v>
      </c>
      <c r="H29">
        <v>5.0000000000000001E-3</v>
      </c>
      <c r="L29" s="4">
        <v>10500</v>
      </c>
      <c r="M29" s="7">
        <f>L29*0.00223</f>
        <v>23.415000000000003</v>
      </c>
      <c r="N29" s="7">
        <f t="shared" si="5"/>
        <v>3.1415926535897931</v>
      </c>
      <c r="O29" s="7">
        <f t="shared" si="6"/>
        <v>3.1415926535897931</v>
      </c>
      <c r="P29" s="8">
        <f>M29/N29</f>
        <v>7.4532259849934599</v>
      </c>
      <c r="Q29" s="8">
        <f>M29/O29</f>
        <v>7.4532259849934599</v>
      </c>
      <c r="R29" s="8">
        <f>$C$55*(P29^2)/(2*32.2)</f>
        <v>2.1995958515158911</v>
      </c>
      <c r="S29" s="8">
        <f>$H$55*(Q29^2)/(2*32.2)</f>
        <v>2.113337190672131</v>
      </c>
      <c r="T29" s="8">
        <f>$C$18*($C$19^-4.87)*10.5*(L29/$C$20)^1.85</f>
        <v>10.72946699565645</v>
      </c>
      <c r="U29" s="8">
        <f>$H$18*($H$19^-4.87)*10.5*(L29/$H$20)^1.85</f>
        <v>1.1704873086170673</v>
      </c>
      <c r="V29" s="19">
        <f>S29+U29</f>
        <v>3.2838244992891985</v>
      </c>
      <c r="W29" s="8">
        <f t="shared" si="11"/>
        <v>23.680000000000291</v>
      </c>
      <c r="X29" s="8">
        <f t="shared" si="12"/>
        <v>16.013333333333321</v>
      </c>
      <c r="Y29" s="8">
        <f>SUM(R29:W29)</f>
        <v>43.176711845751029</v>
      </c>
      <c r="Z29" s="15">
        <f>SUM(R29:U29,X29)</f>
        <v>32.226220679794864</v>
      </c>
    </row>
    <row r="30" spans="1:26" x14ac:dyDescent="0.25">
      <c r="A30" t="s">
        <v>44</v>
      </c>
      <c r="C30">
        <v>0.25</v>
      </c>
      <c r="F30" t="s">
        <v>44</v>
      </c>
      <c r="H30">
        <v>0.25</v>
      </c>
      <c r="L30" s="32">
        <v>10800</v>
      </c>
      <c r="M30" s="33">
        <f>L30*0.00223</f>
        <v>24.084000000000003</v>
      </c>
      <c r="N30" s="34">
        <f t="shared" si="5"/>
        <v>3.1415926535897931</v>
      </c>
      <c r="O30" s="34">
        <f t="shared" si="6"/>
        <v>3.1415926535897931</v>
      </c>
      <c r="P30" s="19">
        <f>M30/N30</f>
        <v>7.6661752988504155</v>
      </c>
      <c r="Q30" s="19">
        <f>M30/O30</f>
        <v>7.6661752988504155</v>
      </c>
      <c r="R30" s="19">
        <f>$C$55*(P30^2)/(2*32.2)</f>
        <v>2.3270826314813018</v>
      </c>
      <c r="S30" s="19">
        <f>$H$55*(Q30^2)/(2*32.2)</f>
        <v>2.2358244890702701</v>
      </c>
      <c r="T30" s="19">
        <f>$C$18*($C$19^-4.87)*10.5*(L30/$C$20)^1.85</f>
        <v>11.303472773370395</v>
      </c>
      <c r="U30" s="19">
        <f>$H$18*($H$19^-4.87)*10.5*(L30/$H$20)^1.85</f>
        <v>1.2331061207313156</v>
      </c>
      <c r="V30" s="19">
        <f>S30+U30</f>
        <v>3.4689306098015855</v>
      </c>
      <c r="W30" s="19">
        <f t="shared" si="11"/>
        <v>23.680000000000291</v>
      </c>
      <c r="X30" s="19">
        <f t="shared" si="12"/>
        <v>16.013333333333321</v>
      </c>
      <c r="Y30" s="19">
        <f>SUM(R30:W30)</f>
        <v>44.24841662445516</v>
      </c>
      <c r="Z30" s="35">
        <f>SUM(R30:U30,X30)</f>
        <v>33.112819347986601</v>
      </c>
    </row>
    <row r="31" spans="1:26" x14ac:dyDescent="0.25">
      <c r="A31" t="s">
        <v>45</v>
      </c>
      <c r="C31">
        <v>0.5</v>
      </c>
      <c r="F31" t="s">
        <v>45</v>
      </c>
      <c r="H31">
        <v>0.5</v>
      </c>
      <c r="L31" s="4">
        <v>11000</v>
      </c>
      <c r="M31" s="7">
        <f t="shared" si="4"/>
        <v>24.53</v>
      </c>
      <c r="N31" s="7">
        <f t="shared" si="5"/>
        <v>3.1415926535897931</v>
      </c>
      <c r="O31" s="7">
        <f t="shared" si="6"/>
        <v>3.1415926535897931</v>
      </c>
      <c r="P31" s="8">
        <f t="shared" si="7"/>
        <v>7.8081415080883856</v>
      </c>
      <c r="Q31" s="8">
        <f t="shared" si="8"/>
        <v>7.8081415080883856</v>
      </c>
      <c r="R31" s="8">
        <f t="shared" si="0"/>
        <v>2.4140689164029276</v>
      </c>
      <c r="S31" s="8">
        <f t="shared" si="1"/>
        <v>2.3193995471322246</v>
      </c>
      <c r="T31" s="8">
        <f t="shared" si="9"/>
        <v>11.693766360462785</v>
      </c>
      <c r="U31" s="8">
        <f t="shared" si="10"/>
        <v>1.2756836029595764</v>
      </c>
      <c r="V31" s="19">
        <f t="shared" si="2"/>
        <v>3.595083150091801</v>
      </c>
      <c r="W31" s="8">
        <f t="shared" si="11"/>
        <v>23.680000000000291</v>
      </c>
      <c r="X31" s="8">
        <f t="shared" si="12"/>
        <v>16.013333333333321</v>
      </c>
      <c r="Y31" s="8">
        <f t="shared" si="3"/>
        <v>44.978001577049604</v>
      </c>
      <c r="Z31" s="15">
        <f t="shared" si="13"/>
        <v>33.716251760290831</v>
      </c>
    </row>
    <row r="32" spans="1:26" x14ac:dyDescent="0.25">
      <c r="A32" t="s">
        <v>46</v>
      </c>
      <c r="C32">
        <v>0.8</v>
      </c>
      <c r="F32" t="s">
        <v>46</v>
      </c>
      <c r="H32">
        <v>0.8</v>
      </c>
      <c r="L32" s="4">
        <v>11500</v>
      </c>
      <c r="M32" s="7">
        <f t="shared" si="4"/>
        <v>25.645000000000003</v>
      </c>
      <c r="N32" s="7">
        <f t="shared" si="5"/>
        <v>3.1415926535897931</v>
      </c>
      <c r="O32" s="7">
        <f t="shared" si="6"/>
        <v>3.1415926535897931</v>
      </c>
      <c r="P32" s="8">
        <f t="shared" si="7"/>
        <v>8.1630570311833139</v>
      </c>
      <c r="Q32" s="8">
        <f t="shared" si="8"/>
        <v>8.1630570311833139</v>
      </c>
      <c r="R32" s="8">
        <f t="shared" si="0"/>
        <v>2.6385174726800606</v>
      </c>
      <c r="S32" s="8">
        <f t="shared" si="1"/>
        <v>2.5350461992416267</v>
      </c>
      <c r="T32" s="8">
        <f t="shared" si="9"/>
        <v>12.696059514527908</v>
      </c>
      <c r="U32" s="8">
        <f t="shared" si="10"/>
        <v>1.3850246743121353</v>
      </c>
      <c r="V32" s="19">
        <f t="shared" si="2"/>
        <v>3.9200708735537617</v>
      </c>
      <c r="W32" s="8">
        <f t="shared" si="11"/>
        <v>23.680000000000291</v>
      </c>
      <c r="X32" s="8">
        <f t="shared" si="12"/>
        <v>16.013333333333321</v>
      </c>
      <c r="Y32" s="8">
        <f t="shared" si="3"/>
        <v>46.854718734315782</v>
      </c>
      <c r="Z32" s="15">
        <f t="shared" si="13"/>
        <v>35.26798119409505</v>
      </c>
    </row>
    <row r="33" spans="1:26" x14ac:dyDescent="0.25">
      <c r="A33" t="s">
        <v>47</v>
      </c>
      <c r="C33">
        <v>1</v>
      </c>
      <c r="F33" t="s">
        <v>47</v>
      </c>
      <c r="H33">
        <v>1</v>
      </c>
      <c r="I33">
        <v>1</v>
      </c>
      <c r="L33" s="4">
        <v>12000</v>
      </c>
      <c r="M33" s="7">
        <f t="shared" si="4"/>
        <v>26.76</v>
      </c>
      <c r="N33" s="7">
        <f t="shared" si="5"/>
        <v>3.1415926535897931</v>
      </c>
      <c r="O33" s="7">
        <f t="shared" si="6"/>
        <v>3.1415926535897931</v>
      </c>
      <c r="P33" s="8">
        <f t="shared" si="7"/>
        <v>8.5179725542782396</v>
      </c>
      <c r="Q33" s="8">
        <f t="shared" si="8"/>
        <v>8.5179725542782396</v>
      </c>
      <c r="R33" s="8">
        <f t="shared" si="0"/>
        <v>2.8729415203472866</v>
      </c>
      <c r="S33" s="8">
        <f t="shared" si="1"/>
        <v>2.760277147000334</v>
      </c>
      <c r="T33" s="8">
        <f t="shared" si="9"/>
        <v>13.736093871491599</v>
      </c>
      <c r="U33" s="8">
        <f t="shared" si="10"/>
        <v>1.4984829677990834</v>
      </c>
      <c r="V33" s="19">
        <f t="shared" si="2"/>
        <v>4.2587601147994176</v>
      </c>
      <c r="W33" s="8">
        <f t="shared" si="11"/>
        <v>23.680000000000291</v>
      </c>
      <c r="X33" s="8">
        <f t="shared" si="12"/>
        <v>16.013333333333321</v>
      </c>
      <c r="Y33" s="8">
        <f t="shared" si="3"/>
        <v>48.806555621438008</v>
      </c>
      <c r="Z33" s="15">
        <f t="shared" si="13"/>
        <v>36.881128839971623</v>
      </c>
    </row>
    <row r="34" spans="1:26" x14ac:dyDescent="0.25">
      <c r="A34" t="s">
        <v>48</v>
      </c>
      <c r="C34">
        <v>0.75</v>
      </c>
      <c r="D34">
        <v>2</v>
      </c>
      <c r="F34" t="s">
        <v>48</v>
      </c>
      <c r="H34">
        <v>0.75</v>
      </c>
      <c r="L34" s="4">
        <v>12500</v>
      </c>
      <c r="M34" s="7">
        <f t="shared" si="4"/>
        <v>27.875000000000004</v>
      </c>
      <c r="N34" s="7">
        <f t="shared" si="5"/>
        <v>3.1415926535897931</v>
      </c>
      <c r="O34" s="7">
        <f t="shared" si="6"/>
        <v>3.1415926535897931</v>
      </c>
      <c r="P34" s="8">
        <f t="shared" si="7"/>
        <v>8.8728880773731671</v>
      </c>
      <c r="Q34" s="8">
        <f t="shared" si="8"/>
        <v>8.8728880773731671</v>
      </c>
      <c r="R34" s="8">
        <f t="shared" si="0"/>
        <v>3.1173410594046076</v>
      </c>
      <c r="S34" s="8">
        <f t="shared" si="1"/>
        <v>2.9950923904083488</v>
      </c>
      <c r="T34" s="8">
        <f t="shared" si="9"/>
        <v>14.813629177911878</v>
      </c>
      <c r="U34" s="8">
        <f t="shared" si="10"/>
        <v>1.6160322739540227</v>
      </c>
      <c r="V34" s="19">
        <f t="shared" si="2"/>
        <v>4.6111246643623716</v>
      </c>
      <c r="W34" s="8">
        <f t="shared" si="11"/>
        <v>23.680000000000291</v>
      </c>
      <c r="X34" s="8">
        <f t="shared" si="12"/>
        <v>16.013333333333321</v>
      </c>
      <c r="Y34" s="8">
        <f t="shared" si="3"/>
        <v>50.833219566041521</v>
      </c>
      <c r="Z34" s="15">
        <f t="shared" si="13"/>
        <v>38.555428235012172</v>
      </c>
    </row>
    <row r="35" spans="1:26" x14ac:dyDescent="0.25">
      <c r="A35" t="s">
        <v>49</v>
      </c>
      <c r="C35">
        <v>0.45</v>
      </c>
      <c r="F35" t="s">
        <v>49</v>
      </c>
      <c r="H35">
        <v>0.45</v>
      </c>
      <c r="L35" s="4">
        <v>13000</v>
      </c>
      <c r="M35" s="7">
        <f t="shared" si="4"/>
        <v>28.990000000000002</v>
      </c>
      <c r="N35" s="7">
        <f t="shared" si="5"/>
        <v>3.1415926535897931</v>
      </c>
      <c r="O35" s="7">
        <f t="shared" si="6"/>
        <v>3.1415926535897931</v>
      </c>
      <c r="P35" s="8">
        <f t="shared" si="7"/>
        <v>9.2278036004680928</v>
      </c>
      <c r="Q35" s="8">
        <f t="shared" si="8"/>
        <v>9.2278036004680928</v>
      </c>
      <c r="R35" s="8">
        <f t="shared" si="0"/>
        <v>3.3717160898520233</v>
      </c>
      <c r="S35" s="8">
        <f t="shared" si="1"/>
        <v>3.2394919294656694</v>
      </c>
      <c r="T35" s="8">
        <f t="shared" si="9"/>
        <v>15.928436432888745</v>
      </c>
      <c r="U35" s="8">
        <f t="shared" si="10"/>
        <v>1.7376476108605901</v>
      </c>
      <c r="V35" s="19">
        <f t="shared" si="2"/>
        <v>4.9771395403262595</v>
      </c>
      <c r="W35" s="8">
        <f t="shared" si="11"/>
        <v>23.680000000000291</v>
      </c>
      <c r="X35" s="8">
        <f t="shared" si="12"/>
        <v>16.013333333333321</v>
      </c>
      <c r="Y35" s="8">
        <f t="shared" si="3"/>
        <v>52.934431603393577</v>
      </c>
      <c r="Z35" s="15">
        <f t="shared" si="13"/>
        <v>40.290625396400351</v>
      </c>
    </row>
    <row r="36" spans="1:26" x14ac:dyDescent="0.25">
      <c r="A36" t="s">
        <v>50</v>
      </c>
      <c r="C36">
        <v>0.35</v>
      </c>
      <c r="D36">
        <v>3</v>
      </c>
      <c r="F36" t="s">
        <v>50</v>
      </c>
      <c r="H36">
        <v>0.35</v>
      </c>
      <c r="L36" s="4">
        <v>13500</v>
      </c>
      <c r="M36" s="7">
        <f t="shared" si="4"/>
        <v>30.105000000000004</v>
      </c>
      <c r="N36" s="7">
        <f t="shared" si="5"/>
        <v>3.1415926535897931</v>
      </c>
      <c r="O36" s="7">
        <f t="shared" si="6"/>
        <v>3.1415926535897931</v>
      </c>
      <c r="P36" s="8">
        <f t="shared" si="7"/>
        <v>9.5827191235630202</v>
      </c>
      <c r="Q36" s="8">
        <f t="shared" si="8"/>
        <v>9.5827191235630202</v>
      </c>
      <c r="R36" s="8">
        <f t="shared" si="0"/>
        <v>3.6360666116895346</v>
      </c>
      <c r="S36" s="8">
        <f t="shared" si="1"/>
        <v>3.4934757641722975</v>
      </c>
      <c r="T36" s="8">
        <f t="shared" si="9"/>
        <v>17.080296940968914</v>
      </c>
      <c r="U36" s="8">
        <f t="shared" si="10"/>
        <v>1.8633051208329721</v>
      </c>
      <c r="V36" s="19">
        <f t="shared" si="2"/>
        <v>5.3567808850052696</v>
      </c>
      <c r="W36" s="8">
        <f t="shared" si="11"/>
        <v>23.680000000000291</v>
      </c>
      <c r="X36" s="8">
        <f t="shared" si="12"/>
        <v>16.013333333333321</v>
      </c>
      <c r="Y36" s="8">
        <f t="shared" si="3"/>
        <v>55.109925322669277</v>
      </c>
      <c r="Z36" s="15">
        <f t="shared" si="13"/>
        <v>42.086477770997035</v>
      </c>
    </row>
    <row r="37" spans="1:26" x14ac:dyDescent="0.25">
      <c r="A37" t="s">
        <v>51</v>
      </c>
      <c r="C37">
        <v>0.2</v>
      </c>
      <c r="F37" t="s">
        <v>51</v>
      </c>
      <c r="H37">
        <v>0.2</v>
      </c>
      <c r="L37" s="4">
        <v>14000</v>
      </c>
      <c r="M37" s="7">
        <f t="shared" si="4"/>
        <v>31.220000000000002</v>
      </c>
      <c r="N37" s="7">
        <f t="shared" si="5"/>
        <v>3.1415926535897931</v>
      </c>
      <c r="O37" s="7">
        <f t="shared" si="6"/>
        <v>3.1415926535897931</v>
      </c>
      <c r="P37" s="8">
        <f t="shared" si="7"/>
        <v>9.9376346466579459</v>
      </c>
      <c r="Q37" s="8">
        <f t="shared" si="8"/>
        <v>9.9376346466579459</v>
      </c>
      <c r="R37" s="8">
        <f t="shared" si="0"/>
        <v>3.9103926249171397</v>
      </c>
      <c r="S37" s="8">
        <f t="shared" si="1"/>
        <v>3.7570438945282318</v>
      </c>
      <c r="T37" s="8">
        <f t="shared" si="9"/>
        <v>18.269001477480185</v>
      </c>
      <c r="U37" s="8">
        <f t="shared" si="10"/>
        <v>1.9929819793614745</v>
      </c>
      <c r="V37" s="19">
        <f t="shared" si="2"/>
        <v>5.7500258738897063</v>
      </c>
      <c r="W37" s="8">
        <f t="shared" si="11"/>
        <v>23.680000000000291</v>
      </c>
      <c r="X37" s="8">
        <f t="shared" si="12"/>
        <v>16.013333333333321</v>
      </c>
      <c r="Y37" s="8">
        <f t="shared" si="3"/>
        <v>57.359445850177025</v>
      </c>
      <c r="Z37" s="15">
        <f t="shared" si="13"/>
        <v>43.94275330962035</v>
      </c>
    </row>
    <row r="38" spans="1:26" x14ac:dyDescent="0.25">
      <c r="A38" t="s">
        <v>52</v>
      </c>
      <c r="C38">
        <v>0.4</v>
      </c>
      <c r="F38" t="s">
        <v>52</v>
      </c>
      <c r="H38">
        <v>0.4</v>
      </c>
      <c r="L38" s="4">
        <v>14500</v>
      </c>
      <c r="M38" s="7">
        <f t="shared" si="4"/>
        <v>32.335000000000001</v>
      </c>
      <c r="N38" s="7">
        <f t="shared" si="5"/>
        <v>3.1415926535897931</v>
      </c>
      <c r="O38" s="7">
        <f t="shared" si="6"/>
        <v>3.1415926535897931</v>
      </c>
      <c r="P38" s="8">
        <f t="shared" si="7"/>
        <v>10.292550169752872</v>
      </c>
      <c r="Q38" s="8">
        <f t="shared" si="8"/>
        <v>10.292550169752872</v>
      </c>
      <c r="R38" s="8">
        <f t="shared" si="0"/>
        <v>4.194694129534839</v>
      </c>
      <c r="S38" s="8">
        <f t="shared" si="1"/>
        <v>4.0301963205334719</v>
      </c>
      <c r="T38" s="8">
        <f t="shared" si="9"/>
        <v>19.494349549343763</v>
      </c>
      <c r="U38" s="8">
        <f t="shared" si="10"/>
        <v>2.1266563144738648</v>
      </c>
      <c r="V38" s="19">
        <f t="shared" si="2"/>
        <v>6.1568526350073363</v>
      </c>
      <c r="W38" s="8">
        <f t="shared" si="11"/>
        <v>23.680000000000291</v>
      </c>
      <c r="X38" s="8">
        <f t="shared" si="12"/>
        <v>16.013333333333321</v>
      </c>
      <c r="Y38" s="8">
        <f t="shared" si="3"/>
        <v>59.682748948893568</v>
      </c>
      <c r="Z38" s="15">
        <f t="shared" si="13"/>
        <v>45.859229647219266</v>
      </c>
    </row>
    <row r="39" spans="1:26" x14ac:dyDescent="0.25">
      <c r="A39" t="s">
        <v>53</v>
      </c>
      <c r="C39">
        <v>1</v>
      </c>
      <c r="D39">
        <v>0</v>
      </c>
      <c r="F39" t="s">
        <v>53</v>
      </c>
      <c r="H39">
        <v>1</v>
      </c>
      <c r="I39">
        <v>1</v>
      </c>
      <c r="L39" s="4">
        <v>15000</v>
      </c>
      <c r="M39" s="7">
        <f t="shared" si="4"/>
        <v>33.450000000000003</v>
      </c>
      <c r="N39" s="7">
        <f t="shared" si="5"/>
        <v>3.1415926535897931</v>
      </c>
      <c r="O39" s="7">
        <f t="shared" si="6"/>
        <v>3.1415926535897931</v>
      </c>
      <c r="P39" s="8">
        <f t="shared" si="7"/>
        <v>10.647465692847799</v>
      </c>
      <c r="Q39" s="8">
        <f t="shared" si="8"/>
        <v>10.647465692847799</v>
      </c>
      <c r="R39" s="8">
        <f t="shared" si="0"/>
        <v>4.4889711255426352</v>
      </c>
      <c r="S39" s="8">
        <f t="shared" si="1"/>
        <v>4.3129330421880212</v>
      </c>
      <c r="T39" s="8">
        <f t="shared" si="9"/>
        <v>20.756148737477201</v>
      </c>
      <c r="U39" s="8">
        <f t="shared" si="10"/>
        <v>2.2643071349975123</v>
      </c>
      <c r="V39" s="19">
        <f t="shared" si="2"/>
        <v>6.5772401771855336</v>
      </c>
      <c r="W39" s="8">
        <f t="shared" si="11"/>
        <v>23.680000000000291</v>
      </c>
      <c r="X39" s="8">
        <f t="shared" si="12"/>
        <v>16.013333333333321</v>
      </c>
      <c r="Y39" s="8">
        <f t="shared" si="3"/>
        <v>62.079600217391196</v>
      </c>
      <c r="Z39" s="15">
        <f t="shared" si="13"/>
        <v>47.835693373538689</v>
      </c>
    </row>
    <row r="40" spans="1:26" x14ac:dyDescent="0.25">
      <c r="A40" t="s">
        <v>54</v>
      </c>
      <c r="C40">
        <v>0.04</v>
      </c>
      <c r="F40" t="s">
        <v>54</v>
      </c>
      <c r="H40">
        <v>0.04</v>
      </c>
      <c r="L40" s="4">
        <v>15500</v>
      </c>
      <c r="M40" s="7">
        <f t="shared" si="4"/>
        <v>34.565000000000005</v>
      </c>
      <c r="N40" s="7">
        <f t="shared" si="5"/>
        <v>3.1415926535897931</v>
      </c>
      <c r="O40" s="7">
        <f t="shared" si="6"/>
        <v>3.1415926535897931</v>
      </c>
      <c r="P40" s="8">
        <f t="shared" si="7"/>
        <v>11.002381215942727</v>
      </c>
      <c r="Q40" s="8">
        <f t="shared" si="8"/>
        <v>11.002381215942727</v>
      </c>
      <c r="R40" s="8">
        <f t="shared" si="0"/>
        <v>4.7932236129405252</v>
      </c>
      <c r="S40" s="8">
        <f t="shared" si="1"/>
        <v>4.6052540594918767</v>
      </c>
      <c r="T40" s="8">
        <f t="shared" si="9"/>
        <v>22.054214109320064</v>
      </c>
      <c r="U40" s="8">
        <f t="shared" si="10"/>
        <v>2.4059142664712794</v>
      </c>
      <c r="V40" s="19">
        <f t="shared" si="2"/>
        <v>7.0111683259631565</v>
      </c>
      <c r="W40" s="8">
        <f t="shared" si="11"/>
        <v>23.680000000000291</v>
      </c>
      <c r="X40" s="8">
        <f t="shared" si="12"/>
        <v>16.013333333333321</v>
      </c>
      <c r="Y40" s="8">
        <f t="shared" si="3"/>
        <v>64.549774374187194</v>
      </c>
      <c r="Z40" s="15">
        <f t="shared" si="13"/>
        <v>49.87193938155707</v>
      </c>
    </row>
    <row r="41" spans="1:26" x14ac:dyDescent="0.25">
      <c r="A41" t="s">
        <v>55</v>
      </c>
      <c r="C41">
        <v>0.04</v>
      </c>
      <c r="F41" t="s">
        <v>55</v>
      </c>
      <c r="H41">
        <v>0.04</v>
      </c>
      <c r="L41" s="4">
        <v>16000</v>
      </c>
      <c r="M41" s="7">
        <f t="shared" si="4"/>
        <v>35.680000000000007</v>
      </c>
      <c r="N41" s="7">
        <f t="shared" si="5"/>
        <v>3.1415926535897931</v>
      </c>
      <c r="O41" s="7">
        <f t="shared" si="6"/>
        <v>3.1415926535897931</v>
      </c>
      <c r="P41" s="8">
        <f t="shared" si="7"/>
        <v>11.357296739037654</v>
      </c>
      <c r="Q41" s="8">
        <f t="shared" si="8"/>
        <v>11.357296739037654</v>
      </c>
      <c r="R41" s="8">
        <f t="shared" si="0"/>
        <v>5.1074515917285099</v>
      </c>
      <c r="S41" s="8">
        <f t="shared" si="1"/>
        <v>4.9071593724450384</v>
      </c>
      <c r="T41" s="8">
        <f t="shared" si="9"/>
        <v>23.388367691952883</v>
      </c>
      <c r="U41" s="8">
        <f t="shared" si="10"/>
        <v>2.5514582936675869</v>
      </c>
      <c r="V41" s="19">
        <f t="shared" si="2"/>
        <v>7.4586176661126249</v>
      </c>
      <c r="W41" s="8">
        <f t="shared" si="11"/>
        <v>23.680000000000291</v>
      </c>
      <c r="X41" s="8">
        <f t="shared" si="12"/>
        <v>16.013333333333321</v>
      </c>
      <c r="Y41" s="8">
        <f t="shared" si="3"/>
        <v>67.093054615906937</v>
      </c>
      <c r="Z41" s="15">
        <f t="shared" si="13"/>
        <v>51.967770283127344</v>
      </c>
    </row>
    <row r="42" spans="1:26" x14ac:dyDescent="0.25">
      <c r="A42" t="s">
        <v>78</v>
      </c>
      <c r="C42">
        <v>0.3</v>
      </c>
      <c r="F42" t="s">
        <v>78</v>
      </c>
      <c r="H42">
        <v>0.3</v>
      </c>
      <c r="I42">
        <v>1</v>
      </c>
      <c r="L42" s="4">
        <v>16500</v>
      </c>
      <c r="M42" s="7">
        <f t="shared" si="4"/>
        <v>36.795000000000002</v>
      </c>
      <c r="N42" s="7">
        <f t="shared" si="5"/>
        <v>3.1415926535897931</v>
      </c>
      <c r="O42" s="7">
        <f t="shared" si="6"/>
        <v>3.1415926535897931</v>
      </c>
      <c r="P42" s="8">
        <f t="shared" si="7"/>
        <v>11.712212262132578</v>
      </c>
      <c r="Q42" s="8">
        <f t="shared" si="8"/>
        <v>11.712212262132578</v>
      </c>
      <c r="R42" s="8">
        <f t="shared" si="0"/>
        <v>5.4316550619065866</v>
      </c>
      <c r="S42" s="8">
        <f t="shared" si="1"/>
        <v>5.2186489810475045</v>
      </c>
      <c r="T42" s="8">
        <f t="shared" si="9"/>
        <v>24.75843799783285</v>
      </c>
      <c r="U42" s="8">
        <f t="shared" si="10"/>
        <v>2.7009205088544923</v>
      </c>
      <c r="V42" s="19">
        <f t="shared" si="2"/>
        <v>7.9195694899019973</v>
      </c>
      <c r="W42" s="8">
        <f t="shared" si="11"/>
        <v>23.680000000000291</v>
      </c>
      <c r="X42" s="8">
        <f t="shared" si="12"/>
        <v>16.013333333333321</v>
      </c>
      <c r="Y42" s="8">
        <f t="shared" si="3"/>
        <v>69.709232039543721</v>
      </c>
      <c r="Z42" s="15">
        <f t="shared" si="13"/>
        <v>54.122995882974756</v>
      </c>
    </row>
    <row r="43" spans="1:26" x14ac:dyDescent="0.25">
      <c r="A43" t="s">
        <v>56</v>
      </c>
      <c r="C43">
        <v>0.17</v>
      </c>
      <c r="F43" t="s">
        <v>56</v>
      </c>
      <c r="H43">
        <v>0.17</v>
      </c>
      <c r="L43" s="18">
        <v>17000</v>
      </c>
      <c r="M43" s="34">
        <f t="shared" si="4"/>
        <v>37.910000000000004</v>
      </c>
      <c r="N43" s="34">
        <f t="shared" si="5"/>
        <v>3.1415926535897931</v>
      </c>
      <c r="O43" s="34">
        <f t="shared" si="6"/>
        <v>3.1415926535897931</v>
      </c>
      <c r="P43" s="19">
        <f t="shared" si="7"/>
        <v>12.067127785227505</v>
      </c>
      <c r="Q43" s="19">
        <f t="shared" si="8"/>
        <v>12.067127785227505</v>
      </c>
      <c r="R43" s="19">
        <f t="shared" si="0"/>
        <v>5.7658340234747616</v>
      </c>
      <c r="S43" s="19">
        <f t="shared" si="1"/>
        <v>5.5397228852992804</v>
      </c>
      <c r="T43" s="19">
        <f t="shared" si="9"/>
        <v>26.164259596436619</v>
      </c>
      <c r="U43" s="19">
        <f t="shared" si="10"/>
        <v>2.8542828650658127</v>
      </c>
      <c r="V43" s="19">
        <f t="shared" si="2"/>
        <v>8.3940057503650927</v>
      </c>
      <c r="W43" s="19">
        <f t="shared" si="11"/>
        <v>23.680000000000291</v>
      </c>
      <c r="X43" s="19">
        <f t="shared" si="12"/>
        <v>16.013333333333321</v>
      </c>
      <c r="Y43" s="19">
        <f t="shared" si="3"/>
        <v>72.398105120641858</v>
      </c>
      <c r="Z43" s="35">
        <f t="shared" si="13"/>
        <v>56.337432703609792</v>
      </c>
    </row>
    <row r="44" spans="1:26" x14ac:dyDescent="0.25">
      <c r="A44" t="s">
        <v>57</v>
      </c>
      <c r="C44">
        <v>0.9</v>
      </c>
      <c r="F44" t="s">
        <v>57</v>
      </c>
      <c r="H44">
        <v>0.9</v>
      </c>
      <c r="L44" s="18">
        <v>17500</v>
      </c>
      <c r="M44" s="34">
        <f t="shared" si="4"/>
        <v>39.025000000000006</v>
      </c>
      <c r="N44" s="34">
        <f t="shared" si="5"/>
        <v>3.1415926535897931</v>
      </c>
      <c r="O44" s="34">
        <f t="shared" si="6"/>
        <v>3.1415926535897931</v>
      </c>
      <c r="P44" s="19">
        <f t="shared" si="7"/>
        <v>12.422043308322433</v>
      </c>
      <c r="Q44" s="19">
        <f t="shared" si="8"/>
        <v>12.422043308322433</v>
      </c>
      <c r="R44" s="19">
        <f t="shared" si="0"/>
        <v>6.1099884764330303</v>
      </c>
      <c r="S44" s="19">
        <f t="shared" si="1"/>
        <v>5.8703810852003624</v>
      </c>
      <c r="T44" s="19">
        <f t="shared" si="9"/>
        <v>27.605672726127988</v>
      </c>
      <c r="U44" s="19">
        <f t="shared" si="10"/>
        <v>3.0115279337594165</v>
      </c>
      <c r="V44" s="19">
        <f t="shared" si="2"/>
        <v>8.881909018959778</v>
      </c>
      <c r="W44" s="19">
        <f t="shared" si="11"/>
        <v>23.680000000000291</v>
      </c>
      <c r="X44" s="19">
        <f t="shared" si="12"/>
        <v>16.013333333333321</v>
      </c>
      <c r="Y44" s="19">
        <f t="shared" si="3"/>
        <v>75.159479240480863</v>
      </c>
      <c r="Z44" s="35">
        <f t="shared" si="13"/>
        <v>58.610903554854119</v>
      </c>
    </row>
    <row r="45" spans="1:26" x14ac:dyDescent="0.25">
      <c r="A45" t="s">
        <v>58</v>
      </c>
      <c r="C45">
        <v>4.5</v>
      </c>
      <c r="F45" t="s">
        <v>58</v>
      </c>
      <c r="H45">
        <v>4.5</v>
      </c>
      <c r="L45" s="4">
        <v>18000</v>
      </c>
      <c r="M45" s="7">
        <f t="shared" si="4"/>
        <v>40.14</v>
      </c>
      <c r="N45" s="7">
        <f t="shared" si="5"/>
        <v>3.1415926535897931</v>
      </c>
      <c r="O45" s="7">
        <f t="shared" si="6"/>
        <v>3.1415926535897931</v>
      </c>
      <c r="P45" s="8">
        <f t="shared" si="7"/>
        <v>12.776958831417359</v>
      </c>
      <c r="Q45" s="8">
        <f t="shared" si="8"/>
        <v>12.776958831417359</v>
      </c>
      <c r="R45" s="8">
        <f t="shared" si="0"/>
        <v>6.4641184207813929</v>
      </c>
      <c r="S45" s="8">
        <f t="shared" si="1"/>
        <v>6.2106235807507506</v>
      </c>
      <c r="T45" s="8">
        <f t="shared" si="9"/>
        <v>29.082522941417565</v>
      </c>
      <c r="U45" s="8">
        <f t="shared" si="10"/>
        <v>3.1726388663364613</v>
      </c>
      <c r="V45" s="19">
        <f t="shared" si="2"/>
        <v>9.3832624470872119</v>
      </c>
      <c r="W45" s="8">
        <f t="shared" si="11"/>
        <v>23.680000000000291</v>
      </c>
      <c r="X45" s="8">
        <f t="shared" si="12"/>
        <v>16.013333333333321</v>
      </c>
      <c r="Y45" s="8">
        <f t="shared" si="3"/>
        <v>77.993166256373684</v>
      </c>
      <c r="Z45" s="15">
        <f t="shared" si="13"/>
        <v>60.943237142619495</v>
      </c>
    </row>
    <row r="46" spans="1:26" x14ac:dyDescent="0.25">
      <c r="A46" t="s">
        <v>59</v>
      </c>
      <c r="C46">
        <v>24</v>
      </c>
      <c r="F46" t="s">
        <v>59</v>
      </c>
      <c r="H46">
        <v>24</v>
      </c>
      <c r="L46" s="4">
        <v>18500</v>
      </c>
      <c r="M46" s="7">
        <f t="shared" si="4"/>
        <v>41.255000000000003</v>
      </c>
      <c r="N46" s="7">
        <f t="shared" si="5"/>
        <v>3.1415926535897931</v>
      </c>
      <c r="O46" s="7">
        <f t="shared" si="6"/>
        <v>3.1415926535897931</v>
      </c>
      <c r="P46" s="8">
        <f t="shared" si="7"/>
        <v>13.131874354512286</v>
      </c>
      <c r="Q46" s="8">
        <f t="shared" si="8"/>
        <v>13.131874354512286</v>
      </c>
      <c r="R46" s="8">
        <f t="shared" si="0"/>
        <v>6.8282238565198528</v>
      </c>
      <c r="S46" s="8">
        <f t="shared" si="1"/>
        <v>6.5604503719504459</v>
      </c>
      <c r="T46" s="8">
        <f t="shared" si="9"/>
        <v>30.594660791481783</v>
      </c>
      <c r="U46" s="8">
        <f t="shared" si="10"/>
        <v>3.3375993590707393</v>
      </c>
      <c r="V46" s="19">
        <f t="shared" si="2"/>
        <v>9.8980497310211852</v>
      </c>
      <c r="W46" s="8">
        <f t="shared" si="11"/>
        <v>23.680000000000291</v>
      </c>
      <c r="X46" s="8">
        <f t="shared" si="12"/>
        <v>16.013333333333321</v>
      </c>
      <c r="Y46" s="8">
        <f t="shared" si="3"/>
        <v>80.898984110044296</v>
      </c>
      <c r="Z46" s="15">
        <f t="shared" si="13"/>
        <v>63.334267712356137</v>
      </c>
    </row>
    <row r="47" spans="1:26" x14ac:dyDescent="0.25">
      <c r="A47" t="s">
        <v>60</v>
      </c>
      <c r="C47">
        <v>0.5</v>
      </c>
      <c r="F47" t="s">
        <v>60</v>
      </c>
      <c r="H47">
        <v>0.5</v>
      </c>
      <c r="L47" s="4">
        <v>19000</v>
      </c>
      <c r="M47" s="7">
        <f t="shared" si="4"/>
        <v>42.370000000000005</v>
      </c>
      <c r="N47" s="7">
        <f t="shared" si="5"/>
        <v>3.1415926535897931</v>
      </c>
      <c r="O47" s="7">
        <f t="shared" si="6"/>
        <v>3.1415926535897931</v>
      </c>
      <c r="P47" s="8">
        <f t="shared" si="7"/>
        <v>13.486789877607213</v>
      </c>
      <c r="Q47" s="8">
        <f t="shared" si="8"/>
        <v>13.486789877607213</v>
      </c>
      <c r="R47" s="8">
        <f t="shared" si="0"/>
        <v>7.2023047836484055</v>
      </c>
      <c r="S47" s="8">
        <f t="shared" si="1"/>
        <v>6.9198614587994491</v>
      </c>
      <c r="T47" s="8">
        <f t="shared" si="9"/>
        <v>32.141941526390113</v>
      </c>
      <c r="U47" s="8">
        <f t="shared" si="10"/>
        <v>3.5063936210607394</v>
      </c>
      <c r="V47" s="19">
        <f t="shared" si="2"/>
        <v>10.426255079860189</v>
      </c>
      <c r="W47" s="8">
        <f t="shared" si="11"/>
        <v>23.680000000000291</v>
      </c>
      <c r="X47" s="8">
        <f t="shared" si="12"/>
        <v>16.013333333333321</v>
      </c>
      <c r="Y47" s="8">
        <f t="shared" si="3"/>
        <v>83.876756469759187</v>
      </c>
      <c r="Z47" s="15">
        <f t="shared" si="13"/>
        <v>65.783834723232019</v>
      </c>
    </row>
    <row r="48" spans="1:26" x14ac:dyDescent="0.25">
      <c r="A48" t="s">
        <v>61</v>
      </c>
      <c r="C48">
        <v>0.75</v>
      </c>
      <c r="F48" t="s">
        <v>61</v>
      </c>
      <c r="H48">
        <v>0.75</v>
      </c>
      <c r="L48" s="4">
        <v>19500</v>
      </c>
      <c r="M48" s="7">
        <f t="shared" si="4"/>
        <v>43.485000000000007</v>
      </c>
      <c r="N48" s="7">
        <f t="shared" si="5"/>
        <v>3.1415926535897931</v>
      </c>
      <c r="O48" s="7">
        <f t="shared" si="6"/>
        <v>3.1415926535897931</v>
      </c>
      <c r="P48" s="8">
        <f t="shared" si="7"/>
        <v>13.841705400702139</v>
      </c>
      <c r="Q48" s="8">
        <f t="shared" si="8"/>
        <v>13.841705400702139</v>
      </c>
      <c r="R48" s="8">
        <f t="shared" si="0"/>
        <v>7.5863612021670521</v>
      </c>
      <c r="S48" s="8">
        <f t="shared" si="1"/>
        <v>7.2888568412977559</v>
      </c>
      <c r="T48" s="8">
        <f t="shared" si="9"/>
        <v>33.724224827978354</v>
      </c>
      <c r="U48" s="8">
        <f t="shared" si="10"/>
        <v>3.6790063448703654</v>
      </c>
      <c r="V48" s="19">
        <f t="shared" si="2"/>
        <v>10.96786318616812</v>
      </c>
      <c r="W48" s="8">
        <f t="shared" si="11"/>
        <v>23.680000000000291</v>
      </c>
      <c r="X48" s="8">
        <f t="shared" si="12"/>
        <v>16.013333333333321</v>
      </c>
      <c r="Y48" s="8">
        <f t="shared" si="3"/>
        <v>86.92631240248194</v>
      </c>
      <c r="Z48" s="15">
        <f t="shared" si="13"/>
        <v>68.291782549646854</v>
      </c>
    </row>
    <row r="49" spans="1:26" x14ac:dyDescent="0.25">
      <c r="A49" t="s">
        <v>62</v>
      </c>
      <c r="C49">
        <v>0.5</v>
      </c>
      <c r="F49" t="s">
        <v>62</v>
      </c>
      <c r="H49">
        <v>0.5</v>
      </c>
      <c r="L49" s="4">
        <v>20000</v>
      </c>
      <c r="M49" s="7">
        <f t="shared" si="4"/>
        <v>44.6</v>
      </c>
      <c r="N49" s="7">
        <f t="shared" si="5"/>
        <v>3.1415926535897931</v>
      </c>
      <c r="O49" s="7">
        <f t="shared" si="6"/>
        <v>3.1415926535897931</v>
      </c>
      <c r="P49" s="8">
        <f t="shared" si="7"/>
        <v>14.196620923797065</v>
      </c>
      <c r="Q49" s="8">
        <f t="shared" si="8"/>
        <v>14.196620923797065</v>
      </c>
      <c r="R49" s="8">
        <f t="shared" si="0"/>
        <v>7.9803931120757952</v>
      </c>
      <c r="S49" s="8">
        <f t="shared" si="1"/>
        <v>7.6674365194453706</v>
      </c>
      <c r="T49" s="8">
        <f t="shared" si="9"/>
        <v>35.341374562713675</v>
      </c>
      <c r="U49" s="8">
        <f t="shared" si="10"/>
        <v>3.8554226795687638</v>
      </c>
      <c r="V49" s="19">
        <f t="shared" si="2"/>
        <v>11.522859199014135</v>
      </c>
      <c r="W49" s="8">
        <f t="shared" si="11"/>
        <v>23.680000000000291</v>
      </c>
      <c r="X49" s="8">
        <f t="shared" si="12"/>
        <v>16.013333333333321</v>
      </c>
      <c r="Y49" s="8">
        <f t="shared" si="3"/>
        <v>90.047486072818032</v>
      </c>
      <c r="Z49" s="15">
        <f t="shared" si="13"/>
        <v>70.857960207136927</v>
      </c>
    </row>
    <row r="50" spans="1:26" x14ac:dyDescent="0.25">
      <c r="A50" t="s">
        <v>63</v>
      </c>
      <c r="C50">
        <v>1.7</v>
      </c>
      <c r="F50" t="s">
        <v>63</v>
      </c>
      <c r="H50">
        <v>1.7</v>
      </c>
      <c r="L50" s="4">
        <v>20500</v>
      </c>
      <c r="M50" s="7">
        <f t="shared" si="4"/>
        <v>45.715000000000003</v>
      </c>
      <c r="N50" s="7">
        <f t="shared" si="5"/>
        <v>3.1415926535897931</v>
      </c>
      <c r="O50" s="7">
        <f t="shared" si="6"/>
        <v>3.1415926535897931</v>
      </c>
      <c r="P50" s="8">
        <f t="shared" si="7"/>
        <v>14.551536446891992</v>
      </c>
      <c r="Q50" s="8">
        <f t="shared" si="8"/>
        <v>14.551536446891992</v>
      </c>
      <c r="R50" s="8">
        <f t="shared" si="0"/>
        <v>8.3844005133746311</v>
      </c>
      <c r="S50" s="8">
        <f t="shared" si="1"/>
        <v>8.0556004932422933</v>
      </c>
      <c r="T50" s="8">
        <f t="shared" si="9"/>
        <v>36.993258554243191</v>
      </c>
      <c r="U50" s="8">
        <f t="shared" si="10"/>
        <v>4.0356282059174386</v>
      </c>
      <c r="V50" s="19">
        <f t="shared" si="2"/>
        <v>12.091228699159732</v>
      </c>
      <c r="W50" s="8">
        <f t="shared" si="11"/>
        <v>23.680000000000291</v>
      </c>
      <c r="X50" s="8">
        <f t="shared" si="12"/>
        <v>16.013333333333321</v>
      </c>
      <c r="Y50" s="8">
        <f t="shared" si="3"/>
        <v>93.240116465937575</v>
      </c>
      <c r="Z50" s="15">
        <f t="shared" si="13"/>
        <v>73.482221100110877</v>
      </c>
    </row>
    <row r="51" spans="1:26" x14ac:dyDescent="0.25">
      <c r="A51" t="s">
        <v>64</v>
      </c>
      <c r="C51">
        <v>1.1000000000000001</v>
      </c>
      <c r="F51" t="s">
        <v>64</v>
      </c>
      <c r="H51">
        <v>1.1000000000000001</v>
      </c>
      <c r="L51" s="4">
        <v>21000</v>
      </c>
      <c r="M51" s="7">
        <f t="shared" si="4"/>
        <v>46.830000000000005</v>
      </c>
      <c r="N51" s="7">
        <f t="shared" si="5"/>
        <v>3.1415926535897931</v>
      </c>
      <c r="O51" s="7">
        <f t="shared" si="6"/>
        <v>3.1415926535897931</v>
      </c>
      <c r="P51" s="8">
        <f t="shared" si="7"/>
        <v>14.90645196998692</v>
      </c>
      <c r="Q51" s="8">
        <f t="shared" si="8"/>
        <v>14.90645196998692</v>
      </c>
      <c r="R51" s="8">
        <f t="shared" si="0"/>
        <v>8.7983834060635644</v>
      </c>
      <c r="S51" s="8">
        <f t="shared" si="1"/>
        <v>8.453348762688524</v>
      </c>
      <c r="T51" s="8">
        <f t="shared" si="9"/>
        <v>38.679748373612071</v>
      </c>
      <c r="U51" s="8">
        <f t="shared" si="10"/>
        <v>4.2196089134849526</v>
      </c>
      <c r="V51" s="19">
        <f t="shared" si="2"/>
        <v>12.672957676173477</v>
      </c>
      <c r="W51" s="8">
        <f t="shared" si="11"/>
        <v>23.680000000000291</v>
      </c>
      <c r="X51" s="8">
        <f t="shared" si="12"/>
        <v>16.013333333333321</v>
      </c>
      <c r="Y51" s="8">
        <f t="shared" si="3"/>
        <v>96.504047132022876</v>
      </c>
      <c r="Z51" s="15">
        <f t="shared" si="13"/>
        <v>76.164422789182424</v>
      </c>
    </row>
    <row r="52" spans="1:26" x14ac:dyDescent="0.25">
      <c r="A52" t="s">
        <v>65</v>
      </c>
      <c r="C52">
        <v>1.5</v>
      </c>
      <c r="F52" t="s">
        <v>65</v>
      </c>
      <c r="H52">
        <v>1.5</v>
      </c>
      <c r="L52" s="4">
        <v>21500</v>
      </c>
      <c r="M52" s="7">
        <f t="shared" si="4"/>
        <v>47.945000000000007</v>
      </c>
      <c r="N52" s="7">
        <f t="shared" si="5"/>
        <v>3.1415926535897931</v>
      </c>
      <c r="O52" s="7">
        <f t="shared" si="6"/>
        <v>3.1415926535897931</v>
      </c>
      <c r="P52" s="8">
        <f t="shared" si="7"/>
        <v>15.261367493081847</v>
      </c>
      <c r="Q52" s="8">
        <f t="shared" si="8"/>
        <v>15.261367493081847</v>
      </c>
      <c r="R52" s="8">
        <f t="shared" si="0"/>
        <v>9.2223417901425915</v>
      </c>
      <c r="S52" s="8">
        <f t="shared" si="1"/>
        <v>8.860681327784059</v>
      </c>
      <c r="T52" s="8">
        <f t="shared" si="9"/>
        <v>40.400719145384905</v>
      </c>
      <c r="U52" s="8">
        <f t="shared" si="10"/>
        <v>4.4073511794965343</v>
      </c>
      <c r="V52" s="19">
        <f t="shared" si="2"/>
        <v>13.268032507280594</v>
      </c>
      <c r="W52" s="8">
        <f t="shared" si="11"/>
        <v>23.680000000000291</v>
      </c>
      <c r="X52" s="8">
        <f t="shared" si="12"/>
        <v>16.013333333333321</v>
      </c>
      <c r="Y52" s="8">
        <f t="shared" si="3"/>
        <v>99.83912595008897</v>
      </c>
      <c r="Z52" s="15">
        <f t="shared" si="13"/>
        <v>78.904426776141406</v>
      </c>
    </row>
    <row r="53" spans="1:26" x14ac:dyDescent="0.25">
      <c r="A53" t="s">
        <v>66</v>
      </c>
      <c r="C53">
        <v>0.3</v>
      </c>
      <c r="F53" t="s">
        <v>66</v>
      </c>
      <c r="H53">
        <v>0.3</v>
      </c>
      <c r="L53" s="4">
        <v>22000</v>
      </c>
      <c r="M53" s="7">
        <f t="shared" si="4"/>
        <v>49.06</v>
      </c>
      <c r="N53" s="7">
        <f t="shared" si="5"/>
        <v>3.1415926535897931</v>
      </c>
      <c r="O53" s="7">
        <f t="shared" si="6"/>
        <v>3.1415926535897931</v>
      </c>
      <c r="P53" s="8">
        <f t="shared" si="7"/>
        <v>15.616283016176771</v>
      </c>
      <c r="Q53" s="8">
        <f t="shared" si="8"/>
        <v>15.616283016176771</v>
      </c>
      <c r="R53" s="8">
        <f t="shared" si="0"/>
        <v>9.6562756656117106</v>
      </c>
      <c r="S53" s="8">
        <f t="shared" si="1"/>
        <v>9.2775981885288985</v>
      </c>
      <c r="T53" s="8">
        <f t="shared" si="9"/>
        <v>42.156049368120229</v>
      </c>
      <c r="U53" s="8">
        <f t="shared" si="10"/>
        <v>4.5988417492494786</v>
      </c>
      <c r="V53" s="19">
        <f t="shared" si="2"/>
        <v>13.876439937778377</v>
      </c>
      <c r="W53" s="8">
        <f t="shared" si="11"/>
        <v>23.680000000000291</v>
      </c>
      <c r="X53" s="8">
        <f t="shared" si="12"/>
        <v>16.013333333333321</v>
      </c>
      <c r="Y53" s="8">
        <f t="shared" si="3"/>
        <v>103.24520490928897</v>
      </c>
      <c r="Z53" s="15">
        <f t="shared" si="13"/>
        <v>81.702098304843631</v>
      </c>
    </row>
    <row r="54" spans="1:26" x14ac:dyDescent="0.25">
      <c r="A54" t="s">
        <v>67</v>
      </c>
      <c r="C54">
        <v>0.04</v>
      </c>
      <c r="F54" t="s">
        <v>67</v>
      </c>
      <c r="H54">
        <v>0.04</v>
      </c>
    </row>
    <row r="55" spans="1:26" x14ac:dyDescent="0.25">
      <c r="A55" t="s">
        <v>68</v>
      </c>
      <c r="C55" s="6">
        <f>SUMPRODUCT(C28:C54,D28:D54)</f>
        <v>2.5499999999999998</v>
      </c>
      <c r="F55" t="s">
        <v>68</v>
      </c>
      <c r="H55" s="6">
        <f>SUMPRODUCT(H28:H54,I28:I54)</f>
        <v>2.4499999999999997</v>
      </c>
    </row>
  </sheetData>
  <sheetProtection algorithmName="SHA-512" hashValue="eukwvVpm5XUVEnA/gbbCbpKzQwMeLRqkt1upWQ/3F9ps8aX+6KoHl3Gpo4pTAPJHR6eGjDHZB97S9mzG2Ho5ZA==" saltValue="JIKlicA81lnQsEcgjZS1kQ==" spinCount="100000" sheet="1" objects="1" scenarios="1" selectLockedCells="1" selectUnlockedCells="1"/>
  <customSheetViews>
    <customSheetView guid="{DD12DCA6-AC95-44E9-85FD-88104CF4D155}" scale="60" showPageBreaks="1" fitToPage="1" view="pageBreakPreview">
      <selection activeCell="G5" sqref="G5"/>
      <pageMargins left="0.7" right="0.7" top="0.75" bottom="0.75" header="0.3" footer="0.3"/>
      <pageSetup paperSize="3" scale="65" orientation="landscape" r:id="rId1"/>
    </customSheetView>
  </customSheetViews>
  <pageMargins left="0.7" right="0.7" top="0.75" bottom="0.75" header="0.3" footer="0.3"/>
  <pageSetup paperSize="3" scale="65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2"/>
  <sheetViews>
    <sheetView view="pageBreakPreview" topLeftCell="A22" zoomScale="60" zoomScaleNormal="150" workbookViewId="0">
      <selection activeCell="O22" sqref="O22"/>
    </sheetView>
  </sheetViews>
  <sheetFormatPr defaultRowHeight="15" x14ac:dyDescent="0.25"/>
  <sheetData>
    <row r="12" ht="19.5" customHeight="1" x14ac:dyDescent="0.25"/>
  </sheetData>
  <sheetProtection algorithmName="SHA-512" hashValue="m95c453Z5j2GGHjH4/Znox6URrNEVlFRAlhQRwE/XT59f+MgBp9KlSYY9B6amUBW+BbcpaJwzLRkNZ6Z0fIhOw==" saltValue="oz6v0IH3dJfbK27L5I+Fjw==" spinCount="100000" sheet="1" objects="1" scenarios="1" selectLockedCells="1" selectUnlockedCells="1"/>
  <customSheetViews>
    <customSheetView guid="{DD12DCA6-AC95-44E9-85FD-88104CF4D155}" scale="60" showPageBreaks="1" fitToPage="1" view="pageBreakPreview" topLeftCell="A22">
      <selection activeCell="O22" sqref="O22"/>
      <pageMargins left="0.7" right="0.7" top="0.75" bottom="0.75" header="0.3" footer="0.3"/>
      <pageSetup scale="44" orientation="landscape" r:id="rId1"/>
    </customSheetView>
  </customSheetViews>
  <pageMargins left="0.7" right="0.7" top="0.75" bottom="0.75" header="0.3" footer="0.3"/>
  <pageSetup scale="44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O65"/>
  <sheetViews>
    <sheetView view="pageBreakPreview" topLeftCell="F1" zoomScale="60" zoomScaleNormal="70" workbookViewId="0">
      <selection activeCell="C54" sqref="C54"/>
    </sheetView>
  </sheetViews>
  <sheetFormatPr defaultRowHeight="15" x14ac:dyDescent="0.25"/>
  <cols>
    <col min="1" max="1" width="22.85546875" customWidth="1"/>
    <col min="3" max="3" width="12.42578125" bestFit="1" customWidth="1"/>
    <col min="4" max="4" width="29.85546875" customWidth="1"/>
    <col min="5" max="5" width="27.42578125" customWidth="1"/>
    <col min="6" max="6" width="11.42578125" customWidth="1"/>
    <col min="7" max="7" width="8.42578125" customWidth="1"/>
    <col min="8" max="8" width="29" bestFit="1" customWidth="1"/>
    <col min="9" max="9" width="26.5703125" customWidth="1"/>
    <col min="10" max="10" width="9.42578125" customWidth="1"/>
    <col min="11" max="11" width="10.140625" customWidth="1"/>
    <col min="13" max="13" width="31.42578125" bestFit="1" customWidth="1"/>
    <col min="32" max="32" width="10.85546875" customWidth="1"/>
    <col min="33" max="36" width="11.85546875" customWidth="1"/>
    <col min="37" max="37" width="11.85546875" style="20" customWidth="1"/>
  </cols>
  <sheetData>
    <row r="1" spans="1:41" x14ac:dyDescent="0.25">
      <c r="A1" s="1" t="s">
        <v>15</v>
      </c>
    </row>
    <row r="2" spans="1:41" x14ac:dyDescent="0.25">
      <c r="B2" s="3" t="s">
        <v>86</v>
      </c>
      <c r="C2">
        <v>5176.2299999999996</v>
      </c>
      <c r="D2" t="s">
        <v>87</v>
      </c>
      <c r="H2" t="s">
        <v>97</v>
      </c>
      <c r="S2" s="107"/>
      <c r="T2" s="107"/>
      <c r="U2" s="107"/>
    </row>
    <row r="3" spans="1:41" x14ac:dyDescent="0.25">
      <c r="B3" s="3" t="s">
        <v>81</v>
      </c>
      <c r="C3">
        <v>5180.01</v>
      </c>
      <c r="D3" t="s">
        <v>105</v>
      </c>
      <c r="H3" t="s">
        <v>96</v>
      </c>
      <c r="I3">
        <v>5</v>
      </c>
      <c r="J3" t="s">
        <v>17</v>
      </c>
      <c r="S3" s="107"/>
      <c r="T3" s="107"/>
      <c r="U3" s="107"/>
    </row>
    <row r="4" spans="1:41" x14ac:dyDescent="0.25">
      <c r="B4" s="3" t="s">
        <v>223</v>
      </c>
      <c r="C4">
        <v>5190.07</v>
      </c>
      <c r="D4" t="s">
        <v>229</v>
      </c>
      <c r="H4" t="s">
        <v>98</v>
      </c>
      <c r="I4">
        <v>10</v>
      </c>
      <c r="J4" t="s">
        <v>17</v>
      </c>
      <c r="S4" s="107"/>
      <c r="T4" s="107"/>
      <c r="U4" s="107"/>
    </row>
    <row r="5" spans="1:41" x14ac:dyDescent="0.25">
      <c r="B5" s="3" t="s">
        <v>224</v>
      </c>
      <c r="C5">
        <v>5196.32</v>
      </c>
      <c r="H5" t="s">
        <v>99</v>
      </c>
      <c r="I5">
        <v>10.199999999999999</v>
      </c>
      <c r="J5" t="s">
        <v>17</v>
      </c>
      <c r="S5" s="107"/>
      <c r="T5" s="107"/>
      <c r="U5" s="107"/>
    </row>
    <row r="6" spans="1:41" x14ac:dyDescent="0.25">
      <c r="C6" s="13"/>
      <c r="D6" s="108"/>
    </row>
    <row r="7" spans="1:41" ht="30" x14ac:dyDescent="0.25">
      <c r="A7" s="1" t="s">
        <v>16</v>
      </c>
      <c r="R7" s="4" t="s">
        <v>18</v>
      </c>
      <c r="S7" s="4"/>
      <c r="T7" s="12" t="s">
        <v>73</v>
      </c>
      <c r="U7" s="12" t="s">
        <v>72</v>
      </c>
      <c r="V7" s="12" t="s">
        <v>180</v>
      </c>
      <c r="W7" s="12" t="s">
        <v>181</v>
      </c>
      <c r="X7" s="12" t="s">
        <v>71</v>
      </c>
      <c r="Y7" s="12" t="s">
        <v>70</v>
      </c>
      <c r="Z7" s="12" t="s">
        <v>183</v>
      </c>
      <c r="AA7" s="12" t="s">
        <v>184</v>
      </c>
      <c r="AB7" s="12" t="s">
        <v>74</v>
      </c>
      <c r="AC7" s="12" t="s">
        <v>75</v>
      </c>
      <c r="AD7" s="12" t="s">
        <v>186</v>
      </c>
      <c r="AE7" s="12" t="s">
        <v>187</v>
      </c>
      <c r="AF7" s="12" t="s">
        <v>76</v>
      </c>
      <c r="AG7" s="12" t="s">
        <v>77</v>
      </c>
      <c r="AH7" s="12" t="s">
        <v>189</v>
      </c>
      <c r="AI7" s="12" t="s">
        <v>190</v>
      </c>
      <c r="AJ7" s="12" t="s">
        <v>192</v>
      </c>
      <c r="AK7" s="14" t="s">
        <v>193</v>
      </c>
      <c r="AL7" s="12" t="s">
        <v>83</v>
      </c>
      <c r="AM7" s="12" t="s">
        <v>82</v>
      </c>
      <c r="AN7" s="11" t="s">
        <v>84</v>
      </c>
      <c r="AO7" s="14" t="s">
        <v>85</v>
      </c>
    </row>
    <row r="8" spans="1:41" x14ac:dyDescent="0.25">
      <c r="A8" t="s">
        <v>79</v>
      </c>
      <c r="C8" s="13">
        <f>C5-C2+C6</f>
        <v>20.090000000000146</v>
      </c>
      <c r="R8" s="4" t="s">
        <v>8</v>
      </c>
      <c r="S8" s="4" t="s">
        <v>19</v>
      </c>
      <c r="T8" s="4" t="s">
        <v>20</v>
      </c>
      <c r="U8" s="4" t="s">
        <v>20</v>
      </c>
      <c r="V8" s="4" t="s">
        <v>20</v>
      </c>
      <c r="W8" s="4" t="s">
        <v>20</v>
      </c>
      <c r="X8" s="4" t="s">
        <v>21</v>
      </c>
      <c r="Y8" s="4" t="s">
        <v>21</v>
      </c>
      <c r="Z8" s="4" t="s">
        <v>21</v>
      </c>
      <c r="AA8" s="4" t="s">
        <v>21</v>
      </c>
      <c r="AB8" s="4" t="s">
        <v>17</v>
      </c>
      <c r="AC8" s="4" t="s">
        <v>17</v>
      </c>
      <c r="AD8" s="4" t="s">
        <v>17</v>
      </c>
      <c r="AE8" s="4" t="s">
        <v>17</v>
      </c>
      <c r="AF8" s="4" t="s">
        <v>17</v>
      </c>
      <c r="AG8" s="4" t="s">
        <v>17</v>
      </c>
      <c r="AH8" s="4" t="s">
        <v>17</v>
      </c>
      <c r="AI8" s="4" t="s">
        <v>17</v>
      </c>
      <c r="AJ8" s="4" t="s">
        <v>17</v>
      </c>
      <c r="AK8" s="30" t="s">
        <v>17</v>
      </c>
      <c r="AL8" s="4" t="s">
        <v>17</v>
      </c>
      <c r="AM8" s="4" t="s">
        <v>17</v>
      </c>
      <c r="AN8" s="4" t="s">
        <v>17</v>
      </c>
      <c r="AO8" s="4" t="s">
        <v>17</v>
      </c>
    </row>
    <row r="9" spans="1:41" x14ac:dyDescent="0.25">
      <c r="A9" t="s">
        <v>80</v>
      </c>
      <c r="C9" s="13">
        <f>C4-C3+C6</f>
        <v>10.059999999999491</v>
      </c>
      <c r="R9" s="4">
        <v>0</v>
      </c>
      <c r="S9" s="7">
        <f>R9*0.00223</f>
        <v>0</v>
      </c>
      <c r="T9" s="7">
        <f>$C$20^2*PI()/4/144</f>
        <v>2.1816615649929121</v>
      </c>
      <c r="U9" s="7">
        <f>$G$20^2*PI()/4/144</f>
        <v>3.1415926535897931</v>
      </c>
      <c r="V9" s="7">
        <f>$K$20^2*PI()/4/144</f>
        <v>2.1816615649929121</v>
      </c>
      <c r="W9" s="7">
        <f>$N$20^2*PI()/4/144</f>
        <v>2.1816615649929121</v>
      </c>
      <c r="X9" s="8">
        <f t="shared" ref="X9:X31" si="0">S9/T9</f>
        <v>0</v>
      </c>
      <c r="Y9" s="8">
        <f t="shared" ref="Y9:Y54" si="1">S9/U9</f>
        <v>0</v>
      </c>
      <c r="Z9" s="8">
        <f t="shared" ref="Z9:Z54" si="2">S9/V9</f>
        <v>0</v>
      </c>
      <c r="AA9" s="8">
        <f t="shared" ref="AA9:AA54" si="3">S9/W9</f>
        <v>0</v>
      </c>
      <c r="AB9" s="8">
        <f t="shared" ref="AB9:AB54" si="4">$B$56*(X9^2)/(2*32.2)</f>
        <v>0</v>
      </c>
      <c r="AC9" s="8">
        <f t="shared" ref="AC9:AC54" si="5">$F$56*(Y9^2)/(2*32.2)</f>
        <v>0</v>
      </c>
      <c r="AD9" s="8">
        <f>$J$56*(Z9^2)/(2*32.2)</f>
        <v>0</v>
      </c>
      <c r="AE9" s="8">
        <f t="shared" ref="AE9:AE54" si="6">$N$56*(AA9^2)/(2*32.2)</f>
        <v>0</v>
      </c>
      <c r="AF9" s="8">
        <f t="shared" ref="AF9:AF54" si="7">$C$19*($C$20^-4.87)*10.44*(R9/$C$21)^1.85</f>
        <v>0</v>
      </c>
      <c r="AG9" s="8">
        <f t="shared" ref="AG9:AG54" si="8">$G$19*($G$20^-4.87)*10.5*(R9/$G$21)^1.85</f>
        <v>0</v>
      </c>
      <c r="AH9" s="8">
        <f t="shared" ref="AH9:AH54" si="9">$K$19*($K$20^-4.87)*10.5*(R9/$K$21)^1.85</f>
        <v>0</v>
      </c>
      <c r="AI9" s="8">
        <f t="shared" ref="AI9:AI54" si="10">$N$19*($N$20^-4.87)*10.5*(R9/$N$21)^1.85</f>
        <v>0</v>
      </c>
      <c r="AJ9" s="8">
        <f t="shared" ref="AJ9:AJ54" si="11">SUM(AB9:AE9)</f>
        <v>0</v>
      </c>
      <c r="AK9" s="31">
        <f t="shared" ref="AK9:AK54" si="12">SUM(AF9:AI9)</f>
        <v>0</v>
      </c>
      <c r="AL9" s="8">
        <f>$C$8</f>
        <v>20.090000000000146</v>
      </c>
      <c r="AM9" s="8">
        <f t="shared" ref="AM9:AM54" si="13">$C$9</f>
        <v>10.059999999999491</v>
      </c>
      <c r="AN9" s="8">
        <f>AJ9+AK9+AL9</f>
        <v>20.090000000000146</v>
      </c>
      <c r="AO9" s="15">
        <f>AJ9+AK9+AM9</f>
        <v>10.059999999999491</v>
      </c>
    </row>
    <row r="10" spans="1:41" x14ac:dyDescent="0.25">
      <c r="R10" s="4">
        <v>500</v>
      </c>
      <c r="S10" s="7">
        <f t="shared" ref="S10:S28" si="14">R10*0.00223</f>
        <v>1.1150000000000002</v>
      </c>
      <c r="T10" s="7">
        <f t="shared" ref="T10:T54" si="15">$C$20^2*PI()/4/144</f>
        <v>2.1816615649929121</v>
      </c>
      <c r="U10" s="7">
        <f t="shared" ref="U10:U54" si="16">$G$20^2*PI()/4/144</f>
        <v>3.1415926535897931</v>
      </c>
      <c r="V10" s="7">
        <f t="shared" ref="V10:V54" si="17">$K$20^2*PI()/4/144</f>
        <v>2.1816615649929121</v>
      </c>
      <c r="W10" s="7">
        <f t="shared" ref="W10:W54" si="18">$N$20^2*PI()/4/144</f>
        <v>2.1816615649929121</v>
      </c>
      <c r="X10" s="8">
        <f t="shared" si="0"/>
        <v>0.51107835325669437</v>
      </c>
      <c r="Y10" s="8">
        <f t="shared" si="1"/>
        <v>0.35491552309492669</v>
      </c>
      <c r="Z10" s="8">
        <f t="shared" si="2"/>
        <v>0.51107835325669437</v>
      </c>
      <c r="AA10" s="8">
        <f t="shared" si="3"/>
        <v>0.51107835325669437</v>
      </c>
      <c r="AB10" s="8">
        <f t="shared" si="4"/>
        <v>1.188383810063654E-2</v>
      </c>
      <c r="AC10" s="8">
        <f t="shared" si="5"/>
        <v>7.0415233341845267E-4</v>
      </c>
      <c r="AD10" s="8">
        <f t="shared" ref="AD10:AD54" si="19">$J$56*(Z10^2)/(2*32.2)</f>
        <v>5.2321334982324708E-3</v>
      </c>
      <c r="AE10" s="8">
        <f t="shared" si="6"/>
        <v>2.6769055107235891E-3</v>
      </c>
      <c r="AF10" s="8">
        <f>$C$19*($C$20^-4.87)*10.44*(R10/$C$21)^1.85</f>
        <v>8.0998106911718461E-4</v>
      </c>
      <c r="AG10" s="8">
        <f t="shared" si="8"/>
        <v>1.8158631332413819E-3</v>
      </c>
      <c r="AH10" s="8">
        <f t="shared" si="9"/>
        <v>0.1589358188993103</v>
      </c>
      <c r="AI10" s="8">
        <f t="shared" si="10"/>
        <v>1.0182951659160009E-2</v>
      </c>
      <c r="AJ10" s="8">
        <f t="shared" si="11"/>
        <v>2.0497029443011051E-2</v>
      </c>
      <c r="AK10" s="31">
        <f t="shared" si="12"/>
        <v>0.17174461476082886</v>
      </c>
      <c r="AL10" s="8">
        <f t="shared" ref="AL10:AL54" si="20">$C$8</f>
        <v>20.090000000000146</v>
      </c>
      <c r="AM10" s="8">
        <f t="shared" si="13"/>
        <v>10.059999999999491</v>
      </c>
      <c r="AN10" s="8">
        <f t="shared" ref="AN10:AN54" si="21">AJ10+AK10+AL10</f>
        <v>20.282241644203985</v>
      </c>
      <c r="AO10" s="15">
        <f t="shared" ref="AO10:AO54" si="22">AJ10+AK10+AM10</f>
        <v>10.25224164420333</v>
      </c>
    </row>
    <row r="11" spans="1:41" x14ac:dyDescent="0.25">
      <c r="A11" s="1" t="s">
        <v>22</v>
      </c>
      <c r="C11" t="s">
        <v>24</v>
      </c>
      <c r="D11" t="s">
        <v>25</v>
      </c>
      <c r="R11" s="4">
        <v>1000</v>
      </c>
      <c r="S11" s="7">
        <f t="shared" si="14"/>
        <v>2.2300000000000004</v>
      </c>
      <c r="T11" s="7">
        <f t="shared" si="15"/>
        <v>2.1816615649929121</v>
      </c>
      <c r="U11" s="7">
        <f t="shared" si="16"/>
        <v>3.1415926535897931</v>
      </c>
      <c r="V11" s="7">
        <f t="shared" si="17"/>
        <v>2.1816615649929121</v>
      </c>
      <c r="W11" s="7">
        <f t="shared" si="18"/>
        <v>2.1816615649929121</v>
      </c>
      <c r="X11" s="8">
        <f t="shared" si="0"/>
        <v>1.0221567065133887</v>
      </c>
      <c r="Y11" s="8">
        <f t="shared" si="1"/>
        <v>0.70983104618985338</v>
      </c>
      <c r="Z11" s="8">
        <f t="shared" si="2"/>
        <v>1.0221567065133887</v>
      </c>
      <c r="AA11" s="8">
        <f t="shared" si="3"/>
        <v>1.0221567065133887</v>
      </c>
      <c r="AB11" s="8">
        <f t="shared" si="4"/>
        <v>4.7535352402546159E-2</v>
      </c>
      <c r="AC11" s="8">
        <f t="shared" si="5"/>
        <v>2.8166093336738107E-3</v>
      </c>
      <c r="AD11" s="8">
        <f t="shared" si="19"/>
        <v>2.0928533992929883E-2</v>
      </c>
      <c r="AE11" s="8">
        <f t="shared" si="6"/>
        <v>1.0707622042894356E-2</v>
      </c>
      <c r="AF11" s="8">
        <f t="shared" si="7"/>
        <v>2.9199832529915089E-3</v>
      </c>
      <c r="AG11" s="8">
        <f t="shared" si="8"/>
        <v>6.5461899554869864E-3</v>
      </c>
      <c r="AH11" s="8">
        <f t="shared" si="9"/>
        <v>0.57296392123373807</v>
      </c>
      <c r="AI11" s="8">
        <f t="shared" si="10"/>
        <v>3.6709559574246702E-2</v>
      </c>
      <c r="AJ11" s="8">
        <f t="shared" si="11"/>
        <v>8.1988117772044206E-2</v>
      </c>
      <c r="AK11" s="31">
        <f t="shared" si="12"/>
        <v>0.61913965401646331</v>
      </c>
      <c r="AL11" s="8">
        <f t="shared" si="20"/>
        <v>20.090000000000146</v>
      </c>
      <c r="AM11" s="8">
        <f t="shared" si="13"/>
        <v>10.059999999999491</v>
      </c>
      <c r="AN11" s="8">
        <f t="shared" si="21"/>
        <v>20.791127771788652</v>
      </c>
      <c r="AO11" s="15">
        <f t="shared" si="22"/>
        <v>10.761127771787999</v>
      </c>
    </row>
    <row r="12" spans="1:41" x14ac:dyDescent="0.25">
      <c r="A12" t="s">
        <v>23</v>
      </c>
      <c r="C12" t="s">
        <v>27</v>
      </c>
      <c r="D12" t="s">
        <v>28</v>
      </c>
      <c r="R12" s="4">
        <v>1500</v>
      </c>
      <c r="S12" s="7">
        <f t="shared" si="14"/>
        <v>3.3450000000000002</v>
      </c>
      <c r="T12" s="7">
        <f t="shared" si="15"/>
        <v>2.1816615649929121</v>
      </c>
      <c r="U12" s="7">
        <f t="shared" si="16"/>
        <v>3.1415926535897931</v>
      </c>
      <c r="V12" s="7">
        <f t="shared" si="17"/>
        <v>2.1816615649929121</v>
      </c>
      <c r="W12" s="7">
        <f t="shared" si="18"/>
        <v>2.1816615649929121</v>
      </c>
      <c r="X12" s="8">
        <f t="shared" si="0"/>
        <v>1.533235059770083</v>
      </c>
      <c r="Y12" s="8">
        <f t="shared" si="1"/>
        <v>1.06474656928478</v>
      </c>
      <c r="Z12" s="8">
        <f t="shared" si="2"/>
        <v>1.533235059770083</v>
      </c>
      <c r="AA12" s="8">
        <f t="shared" si="3"/>
        <v>1.533235059770083</v>
      </c>
      <c r="AB12" s="8">
        <f t="shared" si="4"/>
        <v>0.10695454290572884</v>
      </c>
      <c r="AC12" s="8">
        <f t="shared" si="5"/>
        <v>6.3373710007660726E-3</v>
      </c>
      <c r="AD12" s="8">
        <f t="shared" si="19"/>
        <v>4.7089201484092222E-2</v>
      </c>
      <c r="AE12" s="8">
        <f t="shared" si="6"/>
        <v>2.4092149596512298E-2</v>
      </c>
      <c r="AF12" s="8">
        <f t="shared" si="7"/>
        <v>6.1822873910266397E-3</v>
      </c>
      <c r="AG12" s="8">
        <f t="shared" si="8"/>
        <v>1.3859814976545046E-2</v>
      </c>
      <c r="AH12" s="8">
        <f t="shared" si="9"/>
        <v>1.2130986101127554</v>
      </c>
      <c r="AI12" s="8">
        <f t="shared" si="10"/>
        <v>7.7722722229142394E-2</v>
      </c>
      <c r="AJ12" s="8">
        <f t="shared" si="11"/>
        <v>0.18447326498709943</v>
      </c>
      <c r="AK12" s="31">
        <f t="shared" si="12"/>
        <v>1.3108634347094694</v>
      </c>
      <c r="AL12" s="8">
        <f t="shared" si="20"/>
        <v>20.090000000000146</v>
      </c>
      <c r="AM12" s="8">
        <f t="shared" si="13"/>
        <v>10.059999999999491</v>
      </c>
      <c r="AN12" s="8">
        <f t="shared" si="21"/>
        <v>21.585336699696715</v>
      </c>
      <c r="AO12" s="15">
        <f t="shared" si="22"/>
        <v>11.55533669969606</v>
      </c>
    </row>
    <row r="13" spans="1:41" x14ac:dyDescent="0.25">
      <c r="A13" t="s">
        <v>26</v>
      </c>
      <c r="C13" t="s">
        <v>30</v>
      </c>
      <c r="D13" t="s">
        <v>30</v>
      </c>
      <c r="R13" s="4">
        <v>2000</v>
      </c>
      <c r="S13" s="7">
        <f t="shared" si="14"/>
        <v>4.4600000000000009</v>
      </c>
      <c r="T13" s="7">
        <f t="shared" si="15"/>
        <v>2.1816615649929121</v>
      </c>
      <c r="U13" s="7">
        <f t="shared" si="16"/>
        <v>3.1415926535897931</v>
      </c>
      <c r="V13" s="7">
        <f t="shared" si="17"/>
        <v>2.1816615649929121</v>
      </c>
      <c r="W13" s="7">
        <f t="shared" si="18"/>
        <v>2.1816615649929121</v>
      </c>
      <c r="X13" s="8">
        <f t="shared" si="0"/>
        <v>2.0443134130267775</v>
      </c>
      <c r="Y13" s="8">
        <f t="shared" si="1"/>
        <v>1.4196620923797068</v>
      </c>
      <c r="Z13" s="8">
        <f t="shared" si="2"/>
        <v>2.0443134130267775</v>
      </c>
      <c r="AA13" s="8">
        <f t="shared" si="3"/>
        <v>2.0443134130267775</v>
      </c>
      <c r="AB13" s="8">
        <f t="shared" si="4"/>
        <v>0.19014140961018464</v>
      </c>
      <c r="AC13" s="8">
        <f t="shared" si="5"/>
        <v>1.1266437334695243E-2</v>
      </c>
      <c r="AD13" s="8">
        <f t="shared" si="19"/>
        <v>8.3714135971719533E-2</v>
      </c>
      <c r="AE13" s="8">
        <f t="shared" si="6"/>
        <v>4.2830488171577426E-2</v>
      </c>
      <c r="AF13" s="8">
        <f t="shared" si="7"/>
        <v>1.0526545030297905E-2</v>
      </c>
      <c r="AG13" s="8">
        <f t="shared" si="8"/>
        <v>2.3599026902884082E-2</v>
      </c>
      <c r="AH13" s="8">
        <f t="shared" si="9"/>
        <v>2.065535996284888</v>
      </c>
      <c r="AI13" s="8">
        <f t="shared" si="10"/>
        <v>0.13233803019411877</v>
      </c>
      <c r="AJ13" s="8">
        <f t="shared" si="11"/>
        <v>0.32795247108817682</v>
      </c>
      <c r="AK13" s="31">
        <f t="shared" si="12"/>
        <v>2.2319995984121888</v>
      </c>
      <c r="AL13" s="8">
        <f t="shared" si="20"/>
        <v>20.090000000000146</v>
      </c>
      <c r="AM13" s="8">
        <f t="shared" si="13"/>
        <v>10.059999999999491</v>
      </c>
      <c r="AN13" s="8">
        <f t="shared" si="21"/>
        <v>22.649952069500511</v>
      </c>
      <c r="AO13" s="15">
        <f t="shared" si="22"/>
        <v>12.619952069499856</v>
      </c>
    </row>
    <row r="14" spans="1:41" x14ac:dyDescent="0.25">
      <c r="A14" t="s">
        <v>29</v>
      </c>
      <c r="C14" t="s">
        <v>32</v>
      </c>
      <c r="D14" t="s">
        <v>33</v>
      </c>
      <c r="R14" s="4">
        <v>2500</v>
      </c>
      <c r="S14" s="7">
        <f t="shared" si="14"/>
        <v>5.5750000000000002</v>
      </c>
      <c r="T14" s="7">
        <f t="shared" si="15"/>
        <v>2.1816615649929121</v>
      </c>
      <c r="U14" s="7">
        <f t="shared" si="16"/>
        <v>3.1415926535897931</v>
      </c>
      <c r="V14" s="7">
        <f t="shared" si="17"/>
        <v>2.1816615649929121</v>
      </c>
      <c r="W14" s="7">
        <f t="shared" si="18"/>
        <v>2.1816615649929121</v>
      </c>
      <c r="X14" s="8">
        <f t="shared" si="0"/>
        <v>2.5553917662834715</v>
      </c>
      <c r="Y14" s="8">
        <f t="shared" si="1"/>
        <v>1.7745776154746331</v>
      </c>
      <c r="Z14" s="8">
        <f t="shared" si="2"/>
        <v>2.5553917662834715</v>
      </c>
      <c r="AA14" s="8">
        <f t="shared" si="3"/>
        <v>2.5553917662834715</v>
      </c>
      <c r="AB14" s="8">
        <f t="shared" si="4"/>
        <v>0.29709595251591342</v>
      </c>
      <c r="AC14" s="8">
        <f t="shared" si="5"/>
        <v>1.760380833546131E-2</v>
      </c>
      <c r="AD14" s="8">
        <f t="shared" si="19"/>
        <v>0.13080333745581171</v>
      </c>
      <c r="AE14" s="8">
        <f t="shared" si="6"/>
        <v>6.692263776808971E-2</v>
      </c>
      <c r="AF14" s="8">
        <f t="shared" si="7"/>
        <v>1.5906307599868545E-2</v>
      </c>
      <c r="AG14" s="8">
        <f t="shared" si="8"/>
        <v>3.5659694600121243E-2</v>
      </c>
      <c r="AH14" s="8">
        <f t="shared" si="9"/>
        <v>3.121161864690047</v>
      </c>
      <c r="AI14" s="8">
        <f t="shared" si="10"/>
        <v>0.19997153950984162</v>
      </c>
      <c r="AJ14" s="8">
        <f t="shared" si="11"/>
        <v>0.51242573607527619</v>
      </c>
      <c r="AK14" s="31">
        <f t="shared" si="12"/>
        <v>3.3726994063998785</v>
      </c>
      <c r="AL14" s="8">
        <f t="shared" si="20"/>
        <v>20.090000000000146</v>
      </c>
      <c r="AM14" s="8">
        <f t="shared" si="13"/>
        <v>10.059999999999491</v>
      </c>
      <c r="AN14" s="8">
        <f t="shared" si="21"/>
        <v>23.975125142475299</v>
      </c>
      <c r="AO14" s="15">
        <f t="shared" si="22"/>
        <v>13.945125142474645</v>
      </c>
    </row>
    <row r="15" spans="1:41" x14ac:dyDescent="0.25">
      <c r="A15" t="s">
        <v>31</v>
      </c>
      <c r="R15" s="4">
        <v>3000</v>
      </c>
      <c r="S15" s="7">
        <f t="shared" si="14"/>
        <v>6.69</v>
      </c>
      <c r="T15" s="7">
        <f t="shared" si="15"/>
        <v>2.1816615649929121</v>
      </c>
      <c r="U15" s="7">
        <f t="shared" si="16"/>
        <v>3.1415926535897931</v>
      </c>
      <c r="V15" s="7">
        <f t="shared" si="17"/>
        <v>2.1816615649929121</v>
      </c>
      <c r="W15" s="7">
        <f t="shared" si="18"/>
        <v>2.1816615649929121</v>
      </c>
      <c r="X15" s="8">
        <f t="shared" si="0"/>
        <v>3.066470119540166</v>
      </c>
      <c r="Y15" s="8">
        <f t="shared" si="1"/>
        <v>2.1294931385695599</v>
      </c>
      <c r="Z15" s="8">
        <f t="shared" si="2"/>
        <v>3.066470119540166</v>
      </c>
      <c r="AA15" s="8">
        <f t="shared" si="3"/>
        <v>3.066470119540166</v>
      </c>
      <c r="AB15" s="8">
        <f t="shared" si="4"/>
        <v>0.42781817162291536</v>
      </c>
      <c r="AC15" s="8">
        <f t="shared" si="5"/>
        <v>2.534948400306429E-2</v>
      </c>
      <c r="AD15" s="8">
        <f t="shared" si="19"/>
        <v>0.18835680593636889</v>
      </c>
      <c r="AE15" s="8">
        <f t="shared" si="6"/>
        <v>9.6368598386049192E-2</v>
      </c>
      <c r="AF15" s="8">
        <f t="shared" si="7"/>
        <v>2.228715748462344E-2</v>
      </c>
      <c r="AG15" s="8">
        <f t="shared" si="8"/>
        <v>4.9964658637246924E-2</v>
      </c>
      <c r="AH15" s="8">
        <f t="shared" si="9"/>
        <v>4.3732227342267027</v>
      </c>
      <c r="AI15" s="8">
        <f t="shared" si="10"/>
        <v>0.28019055745755045</v>
      </c>
      <c r="AJ15" s="8">
        <f t="shared" si="11"/>
        <v>0.73789305994839771</v>
      </c>
      <c r="AK15" s="31">
        <f t="shared" si="12"/>
        <v>4.7256651078061234</v>
      </c>
      <c r="AL15" s="8">
        <f t="shared" si="20"/>
        <v>20.090000000000146</v>
      </c>
      <c r="AM15" s="8">
        <f t="shared" si="13"/>
        <v>10.059999999999491</v>
      </c>
      <c r="AN15" s="8">
        <f t="shared" si="21"/>
        <v>25.553558167754666</v>
      </c>
      <c r="AO15" s="15">
        <f t="shared" si="22"/>
        <v>15.523558167754011</v>
      </c>
    </row>
    <row r="16" spans="1:41" x14ac:dyDescent="0.25">
      <c r="R16" s="4">
        <v>3500</v>
      </c>
      <c r="S16" s="7">
        <f t="shared" si="14"/>
        <v>7.8050000000000006</v>
      </c>
      <c r="T16" s="7">
        <f t="shared" si="15"/>
        <v>2.1816615649929121</v>
      </c>
      <c r="U16" s="7">
        <f t="shared" si="16"/>
        <v>3.1415926535897931</v>
      </c>
      <c r="V16" s="7">
        <f t="shared" si="17"/>
        <v>2.1816615649929121</v>
      </c>
      <c r="W16" s="7">
        <f t="shared" si="18"/>
        <v>2.1816615649929121</v>
      </c>
      <c r="X16" s="8">
        <f t="shared" si="0"/>
        <v>3.5775484727968601</v>
      </c>
      <c r="Y16" s="8">
        <f t="shared" si="1"/>
        <v>2.4844086616644865</v>
      </c>
      <c r="Z16" s="8">
        <f t="shared" si="2"/>
        <v>3.5775484727968601</v>
      </c>
      <c r="AA16" s="8">
        <f t="shared" si="3"/>
        <v>3.5775484727968601</v>
      </c>
      <c r="AB16" s="8">
        <f t="shared" si="4"/>
        <v>0.58230806693119019</v>
      </c>
      <c r="AC16" s="8">
        <f t="shared" si="5"/>
        <v>3.4503464337504175E-2</v>
      </c>
      <c r="AD16" s="8">
        <f t="shared" si="19"/>
        <v>0.25637454141339094</v>
      </c>
      <c r="AE16" s="8">
        <f t="shared" si="6"/>
        <v>0.13116837002545581</v>
      </c>
      <c r="AF16" s="8">
        <f t="shared" si="7"/>
        <v>2.9641913984037569E-2</v>
      </c>
      <c r="AG16" s="8">
        <f t="shared" si="8"/>
        <v>6.6452983723424203E-2</v>
      </c>
      <c r="AH16" s="8">
        <f t="shared" si="9"/>
        <v>5.8163851630887216</v>
      </c>
      <c r="AI16" s="8">
        <f t="shared" si="10"/>
        <v>0.37265337264415055</v>
      </c>
      <c r="AJ16" s="8">
        <f t="shared" si="11"/>
        <v>1.004354442707541</v>
      </c>
      <c r="AK16" s="31">
        <f t="shared" si="12"/>
        <v>6.2851334334403344</v>
      </c>
      <c r="AL16" s="8">
        <f t="shared" si="20"/>
        <v>20.090000000000146</v>
      </c>
      <c r="AM16" s="8">
        <f t="shared" si="13"/>
        <v>10.059999999999491</v>
      </c>
      <c r="AN16" s="8">
        <f t="shared" si="21"/>
        <v>27.379487876148019</v>
      </c>
      <c r="AO16" s="15">
        <f t="shared" si="22"/>
        <v>17.349487876147364</v>
      </c>
    </row>
    <row r="17" spans="1:41" x14ac:dyDescent="0.25">
      <c r="A17" s="1" t="s">
        <v>119</v>
      </c>
      <c r="E17" s="1" t="s">
        <v>179</v>
      </c>
      <c r="I17" s="1" t="s">
        <v>222</v>
      </c>
      <c r="M17" s="1" t="s">
        <v>225</v>
      </c>
      <c r="R17" s="4">
        <v>4000</v>
      </c>
      <c r="S17" s="7">
        <f t="shared" si="14"/>
        <v>8.9200000000000017</v>
      </c>
      <c r="T17" s="7">
        <f t="shared" si="15"/>
        <v>2.1816615649929121</v>
      </c>
      <c r="U17" s="7">
        <f t="shared" si="16"/>
        <v>3.1415926535897931</v>
      </c>
      <c r="V17" s="7">
        <f t="shared" si="17"/>
        <v>2.1816615649929121</v>
      </c>
      <c r="W17" s="7">
        <f t="shared" si="18"/>
        <v>2.1816615649929121</v>
      </c>
      <c r="X17" s="8">
        <f t="shared" si="0"/>
        <v>4.088626826053555</v>
      </c>
      <c r="Y17" s="8">
        <f t="shared" si="1"/>
        <v>2.8393241847594135</v>
      </c>
      <c r="Z17" s="8">
        <f t="shared" si="2"/>
        <v>4.088626826053555</v>
      </c>
      <c r="AA17" s="8">
        <f t="shared" si="3"/>
        <v>4.088626826053555</v>
      </c>
      <c r="AB17" s="8">
        <f t="shared" si="4"/>
        <v>0.76056563844073855</v>
      </c>
      <c r="AC17" s="8">
        <f t="shared" si="5"/>
        <v>4.5065749338780971E-2</v>
      </c>
      <c r="AD17" s="8">
        <f t="shared" si="19"/>
        <v>0.33485654388687813</v>
      </c>
      <c r="AE17" s="8">
        <f t="shared" si="6"/>
        <v>0.1713219526863097</v>
      </c>
      <c r="AF17" s="8">
        <f t="shared" si="7"/>
        <v>3.7948214312998878E-2</v>
      </c>
      <c r="AG17" s="8">
        <f t="shared" si="8"/>
        <v>8.5074535653558811E-2</v>
      </c>
      <c r="AH17" s="8">
        <f t="shared" si="9"/>
        <v>7.4462610887643077</v>
      </c>
      <c r="AI17" s="8">
        <f t="shared" si="10"/>
        <v>0.47707884373382214</v>
      </c>
      <c r="AJ17" s="8">
        <f t="shared" si="11"/>
        <v>1.3118098843527073</v>
      </c>
      <c r="AK17" s="31">
        <f t="shared" si="12"/>
        <v>8.0463626824646877</v>
      </c>
      <c r="AL17" s="8">
        <f t="shared" si="20"/>
        <v>20.090000000000146</v>
      </c>
      <c r="AM17" s="8">
        <f t="shared" si="13"/>
        <v>10.059999999999491</v>
      </c>
      <c r="AN17" s="8">
        <f t="shared" si="21"/>
        <v>29.44817256681754</v>
      </c>
      <c r="AO17" s="15">
        <f t="shared" si="22"/>
        <v>19.418172566816885</v>
      </c>
    </row>
    <row r="18" spans="1:41" x14ac:dyDescent="0.25">
      <c r="A18" s="5" t="s">
        <v>34</v>
      </c>
      <c r="E18" s="5" t="s">
        <v>34</v>
      </c>
      <c r="I18" s="5" t="s">
        <v>34</v>
      </c>
      <c r="M18" s="5" t="s">
        <v>34</v>
      </c>
      <c r="R18" s="4">
        <v>4500</v>
      </c>
      <c r="S18" s="7">
        <f t="shared" si="14"/>
        <v>10.035</v>
      </c>
      <c r="T18" s="7">
        <f t="shared" si="15"/>
        <v>2.1816615649929121</v>
      </c>
      <c r="U18" s="7">
        <f t="shared" si="16"/>
        <v>3.1415926535897931</v>
      </c>
      <c r="V18" s="7">
        <f t="shared" si="17"/>
        <v>2.1816615649929121</v>
      </c>
      <c r="W18" s="7">
        <f t="shared" si="18"/>
        <v>2.1816615649929121</v>
      </c>
      <c r="X18" s="8">
        <f t="shared" si="0"/>
        <v>4.5997051793102486</v>
      </c>
      <c r="Y18" s="8">
        <f t="shared" si="1"/>
        <v>3.1942397078543396</v>
      </c>
      <c r="Z18" s="8">
        <f t="shared" si="2"/>
        <v>4.5997051793102486</v>
      </c>
      <c r="AA18" s="8">
        <f t="shared" si="3"/>
        <v>4.5997051793102486</v>
      </c>
      <c r="AB18" s="8">
        <f t="shared" si="4"/>
        <v>0.9625908861515593</v>
      </c>
      <c r="AC18" s="8">
        <f t="shared" si="5"/>
        <v>5.703633900689465E-2</v>
      </c>
      <c r="AD18" s="8">
        <f t="shared" si="19"/>
        <v>0.42380281335682995</v>
      </c>
      <c r="AE18" s="8">
        <f t="shared" si="6"/>
        <v>0.21682934636861062</v>
      </c>
      <c r="AF18" s="8">
        <f t="shared" si="7"/>
        <v>4.7187124295268439E-2</v>
      </c>
      <c r="AG18" s="8">
        <f t="shared" si="8"/>
        <v>0.10578686667930025</v>
      </c>
      <c r="AH18" s="8">
        <f t="shared" si="9"/>
        <v>9.2591352160194766</v>
      </c>
      <c r="AI18" s="8">
        <f t="shared" si="10"/>
        <v>0.59322893330976856</v>
      </c>
      <c r="AJ18" s="8">
        <f t="shared" si="11"/>
        <v>1.6602593848838945</v>
      </c>
      <c r="AK18" s="31">
        <f t="shared" si="12"/>
        <v>10.005338140303815</v>
      </c>
      <c r="AL18" s="8">
        <f t="shared" si="20"/>
        <v>20.090000000000146</v>
      </c>
      <c r="AM18" s="8">
        <f t="shared" si="13"/>
        <v>10.059999999999491</v>
      </c>
      <c r="AN18" s="8">
        <f t="shared" si="21"/>
        <v>31.755597525187856</v>
      </c>
      <c r="AO18" s="15">
        <f t="shared" si="22"/>
        <v>21.725597525187201</v>
      </c>
    </row>
    <row r="19" spans="1:41" x14ac:dyDescent="0.25">
      <c r="A19" t="s">
        <v>35</v>
      </c>
      <c r="C19" s="6">
        <v>12</v>
      </c>
      <c r="E19" t="s">
        <v>35</v>
      </c>
      <c r="G19" s="6">
        <v>65</v>
      </c>
      <c r="I19" t="s">
        <v>35</v>
      </c>
      <c r="K19" s="6">
        <f>1525-150</f>
        <v>1375</v>
      </c>
      <c r="L19" t="s">
        <v>17</v>
      </c>
      <c r="M19" t="s">
        <v>35</v>
      </c>
      <c r="N19" s="6">
        <v>150</v>
      </c>
      <c r="O19" t="s">
        <v>17</v>
      </c>
      <c r="R19" s="4">
        <v>5000</v>
      </c>
      <c r="S19" s="9">
        <f t="shared" si="14"/>
        <v>11.15</v>
      </c>
      <c r="T19" s="7">
        <f t="shared" si="15"/>
        <v>2.1816615649929121</v>
      </c>
      <c r="U19" s="7">
        <f t="shared" si="16"/>
        <v>3.1415926535897931</v>
      </c>
      <c r="V19" s="7">
        <f t="shared" si="17"/>
        <v>2.1816615649929121</v>
      </c>
      <c r="W19" s="7">
        <f t="shared" si="18"/>
        <v>2.1816615649929121</v>
      </c>
      <c r="X19" s="10">
        <f t="shared" si="0"/>
        <v>5.1107835325669431</v>
      </c>
      <c r="Y19" s="10">
        <f t="shared" si="1"/>
        <v>3.5491552309492662</v>
      </c>
      <c r="Z19" s="8">
        <f t="shared" si="2"/>
        <v>5.1107835325669431</v>
      </c>
      <c r="AA19" s="8">
        <f t="shared" si="3"/>
        <v>5.1107835325669431</v>
      </c>
      <c r="AB19" s="8">
        <f t="shared" si="4"/>
        <v>1.1883838100636537</v>
      </c>
      <c r="AC19" s="8">
        <f t="shared" si="5"/>
        <v>7.041523334184524E-2</v>
      </c>
      <c r="AD19" s="8">
        <f t="shared" si="19"/>
        <v>0.52321334982324685</v>
      </c>
      <c r="AE19" s="8">
        <f t="shared" si="6"/>
        <v>0.26769055107235884</v>
      </c>
      <c r="AF19" s="8">
        <f t="shared" si="7"/>
        <v>5.7342268331246796E-2</v>
      </c>
      <c r="AG19" s="8">
        <f t="shared" si="8"/>
        <v>0.12855326501968087</v>
      </c>
      <c r="AH19" s="8">
        <f t="shared" si="9"/>
        <v>11.251794297740753</v>
      </c>
      <c r="AI19" s="8">
        <f t="shared" si="10"/>
        <v>0.72089776996897914</v>
      </c>
      <c r="AJ19" s="8">
        <f t="shared" si="11"/>
        <v>2.0497029443011048</v>
      </c>
      <c r="AK19" s="31">
        <f t="shared" si="12"/>
        <v>12.15858760106066</v>
      </c>
      <c r="AL19" s="10">
        <f t="shared" si="20"/>
        <v>20.090000000000146</v>
      </c>
      <c r="AM19" s="8">
        <f t="shared" si="13"/>
        <v>10.059999999999491</v>
      </c>
      <c r="AN19" s="8">
        <f t="shared" si="21"/>
        <v>34.298290545361908</v>
      </c>
      <c r="AO19" s="15">
        <f t="shared" si="22"/>
        <v>24.268290545361253</v>
      </c>
    </row>
    <row r="20" spans="1:41" x14ac:dyDescent="0.25">
      <c r="A20" t="s">
        <v>36</v>
      </c>
      <c r="C20" s="6">
        <v>20</v>
      </c>
      <c r="E20" t="s">
        <v>36</v>
      </c>
      <c r="G20" s="6">
        <v>24</v>
      </c>
      <c r="I20" t="s">
        <v>36</v>
      </c>
      <c r="K20" s="6">
        <v>20</v>
      </c>
      <c r="L20" t="s">
        <v>37</v>
      </c>
      <c r="M20" t="s">
        <v>36</v>
      </c>
      <c r="N20" s="6">
        <v>20</v>
      </c>
      <c r="O20" t="s">
        <v>37</v>
      </c>
      <c r="R20" s="4">
        <v>5500</v>
      </c>
      <c r="S20" s="7">
        <f t="shared" si="14"/>
        <v>12.265000000000001</v>
      </c>
      <c r="T20" s="7">
        <f t="shared" si="15"/>
        <v>2.1816615649929121</v>
      </c>
      <c r="U20" s="7">
        <f t="shared" si="16"/>
        <v>3.1415926535897931</v>
      </c>
      <c r="V20" s="7">
        <f t="shared" si="17"/>
        <v>2.1816615649929121</v>
      </c>
      <c r="W20" s="7">
        <f t="shared" si="18"/>
        <v>2.1816615649929121</v>
      </c>
      <c r="X20" s="8">
        <f t="shared" si="0"/>
        <v>5.6218618858236376</v>
      </c>
      <c r="Y20" s="8">
        <f t="shared" si="1"/>
        <v>3.9040707540441928</v>
      </c>
      <c r="Z20" s="8">
        <f t="shared" si="2"/>
        <v>5.6218618858236376</v>
      </c>
      <c r="AA20" s="8">
        <f t="shared" si="3"/>
        <v>5.6218618858236376</v>
      </c>
      <c r="AB20" s="8">
        <f t="shared" si="4"/>
        <v>1.4379444101770209</v>
      </c>
      <c r="AC20" s="8">
        <f t="shared" si="5"/>
        <v>8.5202432343632742E-2</v>
      </c>
      <c r="AD20" s="8">
        <f t="shared" si="19"/>
        <v>0.63308815328612866</v>
      </c>
      <c r="AE20" s="8">
        <f t="shared" si="6"/>
        <v>0.32390556679755417</v>
      </c>
      <c r="AF20" s="8">
        <f t="shared" si="7"/>
        <v>6.8399249450879981E-2</v>
      </c>
      <c r="AG20" s="8">
        <f t="shared" si="8"/>
        <v>0.15334145470165864</v>
      </c>
      <c r="AH20" s="8">
        <f t="shared" si="9"/>
        <v>13.421413336761612</v>
      </c>
      <c r="AI20" s="8">
        <f t="shared" si="10"/>
        <v>0.85990435732068948</v>
      </c>
      <c r="AJ20" s="8">
        <f t="shared" si="11"/>
        <v>2.4801405626043365</v>
      </c>
      <c r="AK20" s="31">
        <f t="shared" si="12"/>
        <v>14.50305839823484</v>
      </c>
      <c r="AL20" s="8">
        <f t="shared" si="20"/>
        <v>20.090000000000146</v>
      </c>
      <c r="AM20" s="8">
        <f t="shared" si="13"/>
        <v>10.059999999999491</v>
      </c>
      <c r="AN20" s="8">
        <f t="shared" si="21"/>
        <v>37.073198960839321</v>
      </c>
      <c r="AO20" s="15">
        <f t="shared" si="22"/>
        <v>27.043198960838666</v>
      </c>
    </row>
    <row r="21" spans="1:41" x14ac:dyDescent="0.25">
      <c r="A21" t="s">
        <v>38</v>
      </c>
      <c r="C21" s="40">
        <v>120</v>
      </c>
      <c r="E21" t="s">
        <v>38</v>
      </c>
      <c r="G21" s="40">
        <v>120</v>
      </c>
      <c r="I21" t="s">
        <v>38</v>
      </c>
      <c r="K21" s="40">
        <v>90</v>
      </c>
      <c r="M21" t="s">
        <v>38</v>
      </c>
      <c r="N21" s="40">
        <v>120</v>
      </c>
      <c r="R21" s="4">
        <v>6000</v>
      </c>
      <c r="S21" s="7">
        <f t="shared" si="14"/>
        <v>13.38</v>
      </c>
      <c r="T21" s="7">
        <f t="shared" si="15"/>
        <v>2.1816615649929121</v>
      </c>
      <c r="U21" s="7">
        <f t="shared" si="16"/>
        <v>3.1415926535897931</v>
      </c>
      <c r="V21" s="7">
        <f t="shared" si="17"/>
        <v>2.1816615649929121</v>
      </c>
      <c r="W21" s="7">
        <f t="shared" si="18"/>
        <v>2.1816615649929121</v>
      </c>
      <c r="X21" s="8">
        <f t="shared" si="0"/>
        <v>6.132940239080332</v>
      </c>
      <c r="Y21" s="8">
        <f t="shared" si="1"/>
        <v>4.2589862771391198</v>
      </c>
      <c r="Z21" s="8">
        <f t="shared" si="2"/>
        <v>6.132940239080332</v>
      </c>
      <c r="AA21" s="8">
        <f t="shared" si="3"/>
        <v>6.132940239080332</v>
      </c>
      <c r="AB21" s="8">
        <f t="shared" si="4"/>
        <v>1.7112726864916614</v>
      </c>
      <c r="AC21" s="8">
        <f t="shared" si="5"/>
        <v>0.10139793601225716</v>
      </c>
      <c r="AD21" s="8">
        <f t="shared" si="19"/>
        <v>0.75342722374547555</v>
      </c>
      <c r="AE21" s="8">
        <f t="shared" si="6"/>
        <v>0.38547439354419677</v>
      </c>
      <c r="AF21" s="8">
        <f t="shared" si="7"/>
        <v>8.0345243973189262E-2</v>
      </c>
      <c r="AG21" s="8">
        <f t="shared" si="8"/>
        <v>0.18012268684404414</v>
      </c>
      <c r="AH21" s="8">
        <f t="shared" si="9"/>
        <v>15.765476049288075</v>
      </c>
      <c r="AI21" s="8">
        <f t="shared" si="10"/>
        <v>1.0100874781112157</v>
      </c>
      <c r="AJ21" s="8">
        <f t="shared" si="11"/>
        <v>2.9515722397935908</v>
      </c>
      <c r="AK21" s="31">
        <f t="shared" si="12"/>
        <v>17.036031458216527</v>
      </c>
      <c r="AL21" s="8">
        <f t="shared" si="20"/>
        <v>20.090000000000146</v>
      </c>
      <c r="AM21" s="8">
        <f t="shared" si="13"/>
        <v>10.059999999999491</v>
      </c>
      <c r="AN21" s="8">
        <f t="shared" si="21"/>
        <v>40.077603698010265</v>
      </c>
      <c r="AO21" s="15">
        <f t="shared" si="22"/>
        <v>30.04760369800961</v>
      </c>
    </row>
    <row r="22" spans="1:41" x14ac:dyDescent="0.25"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R22" s="18">
        <v>6500</v>
      </c>
      <c r="S22" s="34">
        <f t="shared" si="14"/>
        <v>14.495000000000001</v>
      </c>
      <c r="T22" s="34">
        <f t="shared" si="15"/>
        <v>2.1816615649929121</v>
      </c>
      <c r="U22" s="34">
        <f t="shared" si="16"/>
        <v>3.1415926535897931</v>
      </c>
      <c r="V22" s="34">
        <f t="shared" si="17"/>
        <v>2.1816615649929121</v>
      </c>
      <c r="W22" s="34">
        <f t="shared" si="18"/>
        <v>2.1816615649929121</v>
      </c>
      <c r="X22" s="19">
        <f t="shared" si="0"/>
        <v>6.6440185923370256</v>
      </c>
      <c r="Y22" s="19">
        <f t="shared" si="1"/>
        <v>4.6139018002340464</v>
      </c>
      <c r="Z22" s="19">
        <f t="shared" si="2"/>
        <v>6.6440185923370256</v>
      </c>
      <c r="AA22" s="19">
        <f t="shared" si="3"/>
        <v>6.6440185923370256</v>
      </c>
      <c r="AB22" s="19">
        <f t="shared" si="4"/>
        <v>2.0083686390075743</v>
      </c>
      <c r="AC22" s="19">
        <f t="shared" si="5"/>
        <v>0.11900174434771847</v>
      </c>
      <c r="AD22" s="19">
        <f t="shared" si="19"/>
        <v>0.88423056120128718</v>
      </c>
      <c r="AE22" s="19">
        <f t="shared" si="6"/>
        <v>0.45239703131228637</v>
      </c>
      <c r="AF22" s="19">
        <f t="shared" si="7"/>
        <v>9.3168707442220791E-2</v>
      </c>
      <c r="AG22" s="19">
        <f t="shared" si="8"/>
        <v>0.20887108040744126</v>
      </c>
      <c r="AH22" s="19">
        <f t="shared" si="9"/>
        <v>18.281717163166565</v>
      </c>
      <c r="AI22" s="19">
        <f t="shared" si="10"/>
        <v>1.1713019972980343</v>
      </c>
      <c r="AJ22" s="19">
        <f t="shared" si="11"/>
        <v>3.4639979758688666</v>
      </c>
      <c r="AK22" s="19">
        <f t="shared" si="12"/>
        <v>19.755058948314261</v>
      </c>
      <c r="AL22" s="19">
        <f t="shared" si="20"/>
        <v>20.090000000000146</v>
      </c>
      <c r="AM22" s="19">
        <f t="shared" si="13"/>
        <v>10.059999999999491</v>
      </c>
      <c r="AN22" s="19">
        <f t="shared" si="21"/>
        <v>43.309056924183274</v>
      </c>
      <c r="AO22" s="35">
        <f t="shared" si="22"/>
        <v>33.279056924182619</v>
      </c>
    </row>
    <row r="23" spans="1:41" x14ac:dyDescent="0.25"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R23" s="18">
        <v>7000</v>
      </c>
      <c r="S23" s="34">
        <f t="shared" si="14"/>
        <v>15.610000000000001</v>
      </c>
      <c r="T23" s="34">
        <f t="shared" si="15"/>
        <v>2.1816615649929121</v>
      </c>
      <c r="U23" s="34">
        <f t="shared" si="16"/>
        <v>3.1415926535897931</v>
      </c>
      <c r="V23" s="34">
        <f t="shared" si="17"/>
        <v>2.1816615649929121</v>
      </c>
      <c r="W23" s="34">
        <f t="shared" si="18"/>
        <v>2.1816615649929121</v>
      </c>
      <c r="X23" s="19">
        <f t="shared" si="0"/>
        <v>7.1550969455937201</v>
      </c>
      <c r="Y23" s="19">
        <f t="shared" si="1"/>
        <v>4.968817323328973</v>
      </c>
      <c r="Z23" s="19">
        <f t="shared" si="2"/>
        <v>7.1550969455937201</v>
      </c>
      <c r="AA23" s="19">
        <f t="shared" si="3"/>
        <v>7.1550969455937201</v>
      </c>
      <c r="AB23" s="19">
        <f t="shared" si="4"/>
        <v>2.3292322677247608</v>
      </c>
      <c r="AC23" s="19">
        <f t="shared" si="5"/>
        <v>0.1380138573500167</v>
      </c>
      <c r="AD23" s="19">
        <f t="shared" si="19"/>
        <v>1.0254981656535638</v>
      </c>
      <c r="AE23" s="19">
        <f t="shared" si="6"/>
        <v>0.52467348010182324</v>
      </c>
      <c r="AF23" s="19">
        <f t="shared" si="7"/>
        <v>0.10685915476313726</v>
      </c>
      <c r="AG23" s="19">
        <f t="shared" si="8"/>
        <v>0.23956312929042425</v>
      </c>
      <c r="AH23" s="19">
        <f t="shared" si="9"/>
        <v>20.968079275825932</v>
      </c>
      <c r="AI23" s="19">
        <f t="shared" si="10"/>
        <v>1.3434160979561078</v>
      </c>
      <c r="AJ23" s="19">
        <f t="shared" si="11"/>
        <v>4.0174177708301642</v>
      </c>
      <c r="AK23" s="19">
        <f t="shared" si="12"/>
        <v>22.657917657835601</v>
      </c>
      <c r="AL23" s="19">
        <f t="shared" si="20"/>
        <v>20.090000000000146</v>
      </c>
      <c r="AM23" s="19">
        <f t="shared" si="13"/>
        <v>10.059999999999491</v>
      </c>
      <c r="AN23" s="19">
        <f t="shared" si="21"/>
        <v>46.765335428665907</v>
      </c>
      <c r="AO23" s="35">
        <f t="shared" si="22"/>
        <v>36.735335428665252</v>
      </c>
    </row>
    <row r="24" spans="1:41" x14ac:dyDescent="0.25"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R24" s="4">
        <v>7500</v>
      </c>
      <c r="S24" s="7">
        <f t="shared" si="14"/>
        <v>16.725000000000001</v>
      </c>
      <c r="T24" s="7">
        <f t="shared" si="15"/>
        <v>2.1816615649929121</v>
      </c>
      <c r="U24" s="7">
        <f t="shared" si="16"/>
        <v>3.1415926535897931</v>
      </c>
      <c r="V24" s="7">
        <f t="shared" si="17"/>
        <v>2.1816615649929121</v>
      </c>
      <c r="W24" s="7">
        <f t="shared" si="18"/>
        <v>2.1816615649929121</v>
      </c>
      <c r="X24" s="8">
        <f t="shared" si="0"/>
        <v>7.6661752988504146</v>
      </c>
      <c r="Y24" s="8">
        <f t="shared" si="1"/>
        <v>5.3237328464238995</v>
      </c>
      <c r="Z24" s="8">
        <f t="shared" si="2"/>
        <v>7.6661752988504146</v>
      </c>
      <c r="AA24" s="8">
        <f t="shared" si="3"/>
        <v>7.6661752988504146</v>
      </c>
      <c r="AB24" s="8">
        <f t="shared" si="4"/>
        <v>2.6738635726432203</v>
      </c>
      <c r="AC24" s="8">
        <f t="shared" si="5"/>
        <v>0.1584342750191518</v>
      </c>
      <c r="AD24" s="8">
        <f t="shared" si="19"/>
        <v>1.1772300371023054</v>
      </c>
      <c r="AE24" s="8">
        <f t="shared" si="6"/>
        <v>0.60230373991280739</v>
      </c>
      <c r="AF24" s="8">
        <f t="shared" si="7"/>
        <v>0.12140699167159372</v>
      </c>
      <c r="AG24" s="8">
        <f t="shared" si="8"/>
        <v>0.27217732450768617</v>
      </c>
      <c r="AH24" s="8">
        <f t="shared" si="9"/>
        <v>23.822679784920801</v>
      </c>
      <c r="AI24" s="8">
        <f t="shared" si="10"/>
        <v>1.5263091625379959</v>
      </c>
      <c r="AJ24" s="8">
        <f t="shared" si="11"/>
        <v>4.6118316246774853</v>
      </c>
      <c r="AK24" s="31">
        <f t="shared" si="12"/>
        <v>25.742573263638075</v>
      </c>
      <c r="AL24" s="8">
        <f t="shared" si="20"/>
        <v>20.090000000000146</v>
      </c>
      <c r="AM24" s="8">
        <f t="shared" si="13"/>
        <v>10.059999999999491</v>
      </c>
      <c r="AN24" s="8">
        <f t="shared" si="21"/>
        <v>50.444404888315702</v>
      </c>
      <c r="AO24" s="15">
        <f t="shared" si="22"/>
        <v>40.414404888315048</v>
      </c>
    </row>
    <row r="25" spans="1:41" x14ac:dyDescent="0.25">
      <c r="R25" s="4">
        <v>8000</v>
      </c>
      <c r="S25" s="7">
        <f t="shared" si="14"/>
        <v>17.840000000000003</v>
      </c>
      <c r="T25" s="7">
        <f t="shared" si="15"/>
        <v>2.1816615649929121</v>
      </c>
      <c r="U25" s="7">
        <f t="shared" si="16"/>
        <v>3.1415926535897931</v>
      </c>
      <c r="V25" s="7">
        <f t="shared" si="17"/>
        <v>2.1816615649929121</v>
      </c>
      <c r="W25" s="7">
        <f t="shared" si="18"/>
        <v>2.1816615649929121</v>
      </c>
      <c r="X25" s="8">
        <f t="shared" si="0"/>
        <v>8.17725365210711</v>
      </c>
      <c r="Y25" s="8">
        <f t="shared" si="1"/>
        <v>5.678648369518827</v>
      </c>
      <c r="Z25" s="8">
        <f t="shared" si="2"/>
        <v>8.17725365210711</v>
      </c>
      <c r="AA25" s="8">
        <f t="shared" si="3"/>
        <v>8.17725365210711</v>
      </c>
      <c r="AB25" s="8">
        <f t="shared" si="4"/>
        <v>3.0422625537629542</v>
      </c>
      <c r="AC25" s="8">
        <f t="shared" si="5"/>
        <v>0.18026299735512388</v>
      </c>
      <c r="AD25" s="8">
        <f t="shared" si="19"/>
        <v>1.3394261755475125</v>
      </c>
      <c r="AE25" s="8">
        <f t="shared" si="6"/>
        <v>0.68528781074523881</v>
      </c>
      <c r="AF25" s="8">
        <f t="shared" si="7"/>
        <v>0.13680338281938079</v>
      </c>
      <c r="AG25" s="8">
        <f t="shared" si="8"/>
        <v>0.30669385845668601</v>
      </c>
      <c r="AH25" s="8">
        <f t="shared" si="9"/>
        <v>26.843785003879443</v>
      </c>
      <c r="AI25" s="8">
        <f t="shared" si="10"/>
        <v>1.7198701144677901</v>
      </c>
      <c r="AJ25" s="8">
        <f t="shared" si="11"/>
        <v>5.2472395374108292</v>
      </c>
      <c r="AK25" s="31">
        <f t="shared" si="12"/>
        <v>29.007152359623298</v>
      </c>
      <c r="AL25" s="8">
        <f t="shared" si="20"/>
        <v>20.090000000000146</v>
      </c>
      <c r="AM25" s="8">
        <f t="shared" si="13"/>
        <v>10.059999999999491</v>
      </c>
      <c r="AN25" s="8">
        <f t="shared" si="21"/>
        <v>54.344391897034271</v>
      </c>
      <c r="AO25" s="15">
        <f t="shared" si="22"/>
        <v>44.314391897033616</v>
      </c>
    </row>
    <row r="26" spans="1:41" x14ac:dyDescent="0.25">
      <c r="R26" s="4">
        <v>8500</v>
      </c>
      <c r="S26" s="7">
        <f t="shared" si="14"/>
        <v>18.955000000000002</v>
      </c>
      <c r="T26" s="7">
        <f t="shared" si="15"/>
        <v>2.1816615649929121</v>
      </c>
      <c r="U26" s="7">
        <f t="shared" si="16"/>
        <v>3.1415926535897931</v>
      </c>
      <c r="V26" s="7">
        <f t="shared" si="17"/>
        <v>2.1816615649929121</v>
      </c>
      <c r="W26" s="7">
        <f t="shared" si="18"/>
        <v>2.1816615649929121</v>
      </c>
      <c r="X26" s="8">
        <f t="shared" si="0"/>
        <v>8.6883320053638027</v>
      </c>
      <c r="Y26" s="8">
        <f t="shared" si="1"/>
        <v>6.0335638926137527</v>
      </c>
      <c r="Z26" s="8">
        <f t="shared" si="2"/>
        <v>8.6883320053638027</v>
      </c>
      <c r="AA26" s="8">
        <f t="shared" si="3"/>
        <v>8.6883320053638027</v>
      </c>
      <c r="AB26" s="8">
        <f t="shared" si="4"/>
        <v>3.434429211083958</v>
      </c>
      <c r="AC26" s="8">
        <f t="shared" si="5"/>
        <v>0.20350002435793277</v>
      </c>
      <c r="AD26" s="8">
        <f t="shared" si="19"/>
        <v>1.5120865809891832</v>
      </c>
      <c r="AE26" s="8">
        <f t="shared" si="6"/>
        <v>0.77362569259911684</v>
      </c>
      <c r="AF26" s="8">
        <f t="shared" si="7"/>
        <v>0.15304014666181714</v>
      </c>
      <c r="AG26" s="8">
        <f t="shared" si="8"/>
        <v>0.34309438927003183</v>
      </c>
      <c r="AH26" s="8">
        <f t="shared" si="9"/>
        <v>30.029789536534746</v>
      </c>
      <c r="AI26" s="8">
        <f t="shared" si="10"/>
        <v>1.9239960966823277</v>
      </c>
      <c r="AJ26" s="8">
        <f t="shared" si="11"/>
        <v>5.9236415090301904</v>
      </c>
      <c r="AK26" s="31">
        <f t="shared" si="12"/>
        <v>32.449920169148925</v>
      </c>
      <c r="AL26" s="8">
        <f t="shared" si="20"/>
        <v>20.090000000000146</v>
      </c>
      <c r="AM26" s="8">
        <f t="shared" si="13"/>
        <v>10.059999999999491</v>
      </c>
      <c r="AN26" s="8">
        <f t="shared" si="21"/>
        <v>58.463561678179261</v>
      </c>
      <c r="AO26" s="15">
        <f t="shared" si="22"/>
        <v>48.433561678178606</v>
      </c>
    </row>
    <row r="27" spans="1:41" x14ac:dyDescent="0.25">
      <c r="A27" s="1" t="s">
        <v>39</v>
      </c>
      <c r="B27" s="37" t="s">
        <v>40</v>
      </c>
      <c r="C27" t="s">
        <v>42</v>
      </c>
      <c r="E27" s="1" t="s">
        <v>39</v>
      </c>
      <c r="F27" s="37" t="s">
        <v>40</v>
      </c>
      <c r="G27" t="s">
        <v>42</v>
      </c>
      <c r="I27" s="1" t="s">
        <v>39</v>
      </c>
      <c r="J27" s="37" t="s">
        <v>40</v>
      </c>
      <c r="K27" t="s">
        <v>42</v>
      </c>
      <c r="M27" s="1" t="s">
        <v>39</v>
      </c>
      <c r="N27" s="37" t="s">
        <v>40</v>
      </c>
      <c r="O27" t="s">
        <v>42</v>
      </c>
      <c r="R27" s="4">
        <v>9000</v>
      </c>
      <c r="S27" s="7">
        <f t="shared" si="14"/>
        <v>20.07</v>
      </c>
      <c r="T27" s="7">
        <f t="shared" si="15"/>
        <v>2.1816615649929121</v>
      </c>
      <c r="U27" s="7">
        <f t="shared" si="16"/>
        <v>3.1415926535897931</v>
      </c>
      <c r="V27" s="7">
        <f t="shared" si="17"/>
        <v>2.1816615649929121</v>
      </c>
      <c r="W27" s="7">
        <f t="shared" si="18"/>
        <v>2.1816615649929121</v>
      </c>
      <c r="X27" s="8">
        <f t="shared" si="0"/>
        <v>9.1994103586204972</v>
      </c>
      <c r="Y27" s="8">
        <f t="shared" si="1"/>
        <v>6.3884794157086793</v>
      </c>
      <c r="Z27" s="8">
        <f t="shared" si="2"/>
        <v>9.1994103586204972</v>
      </c>
      <c r="AA27" s="8">
        <f t="shared" si="3"/>
        <v>9.1994103586204972</v>
      </c>
      <c r="AB27" s="8">
        <f t="shared" si="4"/>
        <v>3.8503635446062372</v>
      </c>
      <c r="AC27" s="8">
        <f t="shared" si="5"/>
        <v>0.2281453560275786</v>
      </c>
      <c r="AD27" s="8">
        <f t="shared" si="19"/>
        <v>1.6952112534273198</v>
      </c>
      <c r="AE27" s="8">
        <f t="shared" si="6"/>
        <v>0.86731738547444248</v>
      </c>
      <c r="AF27" s="8">
        <f t="shared" si="7"/>
        <v>0.17010967040154151</v>
      </c>
      <c r="AG27" s="8">
        <f t="shared" si="8"/>
        <v>0.38136185013147783</v>
      </c>
      <c r="AH27" s="8">
        <f t="shared" si="9"/>
        <v>33.379199587255179</v>
      </c>
      <c r="AI27" s="8">
        <f t="shared" si="10"/>
        <v>2.1385914023182306</v>
      </c>
      <c r="AJ27" s="8">
        <f t="shared" si="11"/>
        <v>6.6410375395355778</v>
      </c>
      <c r="AK27" s="31">
        <f t="shared" si="12"/>
        <v>36.069262510106434</v>
      </c>
      <c r="AL27" s="8">
        <f t="shared" si="20"/>
        <v>20.090000000000146</v>
      </c>
      <c r="AM27" s="8">
        <f t="shared" si="13"/>
        <v>10.059999999999491</v>
      </c>
      <c r="AN27" s="8">
        <f t="shared" si="21"/>
        <v>62.800300049642161</v>
      </c>
      <c r="AO27" s="15">
        <f t="shared" si="22"/>
        <v>52.770300049641506</v>
      </c>
    </row>
    <row r="28" spans="1:41" x14ac:dyDescent="0.25">
      <c r="A28" t="s">
        <v>41</v>
      </c>
      <c r="B28" s="37">
        <v>0.5</v>
      </c>
      <c r="C28">
        <v>1</v>
      </c>
      <c r="E28" t="s">
        <v>41</v>
      </c>
      <c r="F28" s="37">
        <v>0.5</v>
      </c>
      <c r="I28" t="s">
        <v>41</v>
      </c>
      <c r="J28" s="37">
        <v>0.5</v>
      </c>
      <c r="M28" t="s">
        <v>41</v>
      </c>
      <c r="N28" s="37">
        <v>0.5</v>
      </c>
      <c r="R28" s="4">
        <v>9500</v>
      </c>
      <c r="S28" s="7">
        <f t="shared" si="14"/>
        <v>21.185000000000002</v>
      </c>
      <c r="T28" s="7">
        <f t="shared" si="15"/>
        <v>2.1816615649929121</v>
      </c>
      <c r="U28" s="7">
        <f t="shared" si="16"/>
        <v>3.1415926535897931</v>
      </c>
      <c r="V28" s="7">
        <f t="shared" si="17"/>
        <v>2.1816615649929121</v>
      </c>
      <c r="W28" s="7">
        <f t="shared" si="18"/>
        <v>2.1816615649929121</v>
      </c>
      <c r="X28" s="8">
        <f t="shared" si="0"/>
        <v>9.7104887118771916</v>
      </c>
      <c r="Y28" s="8">
        <f t="shared" si="1"/>
        <v>6.7433949388036067</v>
      </c>
      <c r="Z28" s="8">
        <f t="shared" si="2"/>
        <v>9.7104887118771916</v>
      </c>
      <c r="AA28" s="8">
        <f t="shared" si="3"/>
        <v>9.7104887118771916</v>
      </c>
      <c r="AB28" s="8">
        <f t="shared" si="4"/>
        <v>4.2900655543297885</v>
      </c>
      <c r="AC28" s="8">
        <f t="shared" si="5"/>
        <v>0.2541989923640614</v>
      </c>
      <c r="AD28" s="8">
        <f t="shared" si="19"/>
        <v>1.8888001928619209</v>
      </c>
      <c r="AE28" s="8">
        <f t="shared" si="6"/>
        <v>0.96636288937121528</v>
      </c>
      <c r="AF28" s="8">
        <f t="shared" si="7"/>
        <v>0.1880048402311458</v>
      </c>
      <c r="AG28" s="8">
        <f t="shared" si="8"/>
        <v>0.42148029288976241</v>
      </c>
      <c r="AH28" s="8">
        <f t="shared" si="9"/>
        <v>36.89061927303905</v>
      </c>
      <c r="AI28" s="8">
        <f t="shared" si="10"/>
        <v>2.3635665977335143</v>
      </c>
      <c r="AJ28" s="8">
        <f t="shared" si="11"/>
        <v>7.3994276289269862</v>
      </c>
      <c r="AK28" s="31">
        <f t="shared" si="12"/>
        <v>39.863671003893472</v>
      </c>
      <c r="AL28" s="8">
        <f t="shared" si="20"/>
        <v>20.090000000000146</v>
      </c>
      <c r="AM28" s="8">
        <f t="shared" si="13"/>
        <v>10.059999999999491</v>
      </c>
      <c r="AN28" s="8">
        <f t="shared" si="21"/>
        <v>67.353098632820604</v>
      </c>
      <c r="AO28" s="15">
        <f t="shared" si="22"/>
        <v>57.323098632819949</v>
      </c>
    </row>
    <row r="29" spans="1:41" x14ac:dyDescent="0.25">
      <c r="A29" t="s">
        <v>102</v>
      </c>
      <c r="B29" s="37"/>
      <c r="E29" t="s">
        <v>102</v>
      </c>
      <c r="F29" s="37"/>
      <c r="I29" t="s">
        <v>102</v>
      </c>
      <c r="J29" s="37"/>
      <c r="M29" t="s">
        <v>102</v>
      </c>
      <c r="N29" s="37"/>
      <c r="O29">
        <v>0</v>
      </c>
      <c r="R29" s="4">
        <v>10000</v>
      </c>
      <c r="S29" s="7">
        <f>R29*0.00223</f>
        <v>22.3</v>
      </c>
      <c r="T29" s="7">
        <f t="shared" si="15"/>
        <v>2.1816615649929121</v>
      </c>
      <c r="U29" s="7">
        <f t="shared" si="16"/>
        <v>3.1415926535897931</v>
      </c>
      <c r="V29" s="7">
        <f t="shared" si="17"/>
        <v>2.1816615649929121</v>
      </c>
      <c r="W29" s="7">
        <f t="shared" si="18"/>
        <v>2.1816615649929121</v>
      </c>
      <c r="X29" s="8">
        <f t="shared" si="0"/>
        <v>10.221567065133886</v>
      </c>
      <c r="Y29" s="8">
        <f t="shared" si="1"/>
        <v>7.0983104618985324</v>
      </c>
      <c r="Z29" s="8">
        <f t="shared" si="2"/>
        <v>10.221567065133886</v>
      </c>
      <c r="AA29" s="8">
        <f t="shared" si="3"/>
        <v>10.221567065133886</v>
      </c>
      <c r="AB29" s="8">
        <f t="shared" si="4"/>
        <v>4.7535352402546147</v>
      </c>
      <c r="AC29" s="8">
        <f t="shared" si="5"/>
        <v>0.28166093336738096</v>
      </c>
      <c r="AD29" s="8">
        <f t="shared" si="19"/>
        <v>2.0928533992929874</v>
      </c>
      <c r="AE29" s="8">
        <f t="shared" si="6"/>
        <v>1.0707622042894354</v>
      </c>
      <c r="AF29" s="8">
        <f t="shared" si="7"/>
        <v>0.2067189834427621</v>
      </c>
      <c r="AG29" s="8">
        <f t="shared" si="8"/>
        <v>0.46343475827648006</v>
      </c>
      <c r="AH29" s="8">
        <f t="shared" si="9"/>
        <v>40.562739264163042</v>
      </c>
      <c r="AI29" s="8">
        <f t="shared" si="10"/>
        <v>2.5988377947186327</v>
      </c>
      <c r="AJ29" s="8">
        <f t="shared" si="11"/>
        <v>8.1988117772044191</v>
      </c>
      <c r="AK29" s="31">
        <f t="shared" si="12"/>
        <v>43.831730800600916</v>
      </c>
      <c r="AL29" s="8">
        <f t="shared" si="20"/>
        <v>20.090000000000146</v>
      </c>
      <c r="AM29" s="8">
        <f t="shared" si="13"/>
        <v>10.059999999999491</v>
      </c>
      <c r="AN29" s="8">
        <f t="shared" si="21"/>
        <v>72.12054257780548</v>
      </c>
      <c r="AO29" s="15">
        <f t="shared" si="22"/>
        <v>62.090542577804825</v>
      </c>
    </row>
    <row r="30" spans="1:41" x14ac:dyDescent="0.25">
      <c r="A30" t="s">
        <v>43</v>
      </c>
      <c r="B30" s="37">
        <v>0.05</v>
      </c>
      <c r="C30">
        <v>1</v>
      </c>
      <c r="E30" t="s">
        <v>43</v>
      </c>
      <c r="F30" s="37">
        <v>0.05</v>
      </c>
      <c r="I30" t="s">
        <v>43</v>
      </c>
      <c r="J30" s="37">
        <v>0.05</v>
      </c>
      <c r="M30" t="s">
        <v>43</v>
      </c>
      <c r="N30" s="37">
        <v>0.05</v>
      </c>
      <c r="R30" s="4">
        <v>10500</v>
      </c>
      <c r="S30" s="7">
        <f>R30*0.00223</f>
        <v>23.415000000000003</v>
      </c>
      <c r="T30" s="7">
        <f t="shared" si="15"/>
        <v>2.1816615649929121</v>
      </c>
      <c r="U30" s="7">
        <f t="shared" si="16"/>
        <v>3.1415926535897931</v>
      </c>
      <c r="V30" s="7">
        <f t="shared" si="17"/>
        <v>2.1816615649929121</v>
      </c>
      <c r="W30" s="7">
        <f t="shared" si="18"/>
        <v>2.1816615649929121</v>
      </c>
      <c r="X30" s="8">
        <f t="shared" si="0"/>
        <v>10.732645418390581</v>
      </c>
      <c r="Y30" s="8">
        <f t="shared" si="1"/>
        <v>7.4532259849934599</v>
      </c>
      <c r="Z30" s="8">
        <f t="shared" si="2"/>
        <v>10.732645418390581</v>
      </c>
      <c r="AA30" s="8">
        <f t="shared" si="3"/>
        <v>10.732645418390581</v>
      </c>
      <c r="AB30" s="8">
        <f t="shared" si="4"/>
        <v>5.2407726023807122</v>
      </c>
      <c r="AC30" s="8">
        <f t="shared" si="5"/>
        <v>0.31053117903753757</v>
      </c>
      <c r="AD30" s="8">
        <f t="shared" si="19"/>
        <v>2.3073708727205187</v>
      </c>
      <c r="AE30" s="8">
        <f t="shared" si="6"/>
        <v>1.1805153302291025</v>
      </c>
      <c r="AF30" s="8">
        <f t="shared" si="7"/>
        <v>0.2262458198796487</v>
      </c>
      <c r="AG30" s="8">
        <f t="shared" si="8"/>
        <v>0.50721116706739588</v>
      </c>
      <c r="AH30" s="8">
        <f t="shared" si="9"/>
        <v>44.394327257931906</v>
      </c>
      <c r="AI30" s="8">
        <f t="shared" si="10"/>
        <v>2.8443260401536299</v>
      </c>
      <c r="AJ30" s="8">
        <f t="shared" si="11"/>
        <v>9.0391899843678711</v>
      </c>
      <c r="AK30" s="31">
        <f t="shared" si="12"/>
        <v>47.972110285032585</v>
      </c>
      <c r="AL30" s="8">
        <f t="shared" si="20"/>
        <v>20.090000000000146</v>
      </c>
      <c r="AM30" s="8">
        <f t="shared" si="13"/>
        <v>10.059999999999491</v>
      </c>
      <c r="AN30" s="8">
        <f t="shared" si="21"/>
        <v>77.10130026940061</v>
      </c>
      <c r="AO30" s="15">
        <f t="shared" si="22"/>
        <v>67.071300269399956</v>
      </c>
    </row>
    <row r="31" spans="1:41" x14ac:dyDescent="0.25">
      <c r="A31" t="s">
        <v>44</v>
      </c>
      <c r="B31" s="37">
        <v>0.25</v>
      </c>
      <c r="E31" t="s">
        <v>44</v>
      </c>
      <c r="F31" s="37">
        <v>0.25</v>
      </c>
      <c r="I31" t="s">
        <v>44</v>
      </c>
      <c r="J31" s="37">
        <v>0.25</v>
      </c>
      <c r="M31" t="s">
        <v>44</v>
      </c>
      <c r="N31" s="37">
        <v>0.25</v>
      </c>
      <c r="R31" s="32">
        <v>10800</v>
      </c>
      <c r="S31" s="33">
        <f>R31*0.00223</f>
        <v>24.084000000000003</v>
      </c>
      <c r="T31" s="7">
        <f t="shared" si="15"/>
        <v>2.1816615649929121</v>
      </c>
      <c r="U31" s="7">
        <f t="shared" si="16"/>
        <v>3.1415926535897931</v>
      </c>
      <c r="V31" s="7">
        <f t="shared" si="17"/>
        <v>2.1816615649929121</v>
      </c>
      <c r="W31" s="7">
        <f t="shared" si="18"/>
        <v>2.1816615649929121</v>
      </c>
      <c r="X31" s="19">
        <f t="shared" si="0"/>
        <v>11.039292430344597</v>
      </c>
      <c r="Y31" s="36">
        <f t="shared" si="1"/>
        <v>7.6661752988504155</v>
      </c>
      <c r="Z31" s="8">
        <f t="shared" si="2"/>
        <v>11.039292430344597</v>
      </c>
      <c r="AA31" s="8">
        <f t="shared" si="3"/>
        <v>11.039292430344597</v>
      </c>
      <c r="AB31" s="8">
        <f t="shared" si="4"/>
        <v>5.5445235042329823</v>
      </c>
      <c r="AC31" s="8">
        <f t="shared" si="5"/>
        <v>0.32852931267971319</v>
      </c>
      <c r="AD31" s="8">
        <f t="shared" si="19"/>
        <v>2.4411042049353404</v>
      </c>
      <c r="AE31" s="8">
        <f t="shared" si="6"/>
        <v>1.2489370350831974</v>
      </c>
      <c r="AF31" s="8">
        <f t="shared" si="7"/>
        <v>0.23834953461656153</v>
      </c>
      <c r="AG31" s="8">
        <f t="shared" si="8"/>
        <v>0.53434598565023683</v>
      </c>
      <c r="AH31" s="8">
        <f t="shared" si="9"/>
        <v>46.769338090631472</v>
      </c>
      <c r="AI31" s="8">
        <f t="shared" si="10"/>
        <v>2.9964919941018873</v>
      </c>
      <c r="AJ31" s="8">
        <f t="shared" si="11"/>
        <v>9.5630940569312344</v>
      </c>
      <c r="AK31" s="31">
        <f t="shared" si="12"/>
        <v>50.53852560500016</v>
      </c>
      <c r="AL31" s="19">
        <f t="shared" si="20"/>
        <v>20.090000000000146</v>
      </c>
      <c r="AM31" s="19">
        <f t="shared" si="13"/>
        <v>10.059999999999491</v>
      </c>
      <c r="AN31" s="8">
        <f t="shared" si="21"/>
        <v>80.19161966193154</v>
      </c>
      <c r="AO31" s="15">
        <f t="shared" si="22"/>
        <v>70.161619661930885</v>
      </c>
    </row>
    <row r="32" spans="1:41" x14ac:dyDescent="0.25">
      <c r="A32" t="s">
        <v>45</v>
      </c>
      <c r="B32" s="37">
        <v>0.5</v>
      </c>
      <c r="E32" t="s">
        <v>45</v>
      </c>
      <c r="F32" s="37">
        <v>0.5</v>
      </c>
      <c r="I32" t="s">
        <v>45</v>
      </c>
      <c r="J32" s="37">
        <v>0.5</v>
      </c>
      <c r="M32" t="s">
        <v>45</v>
      </c>
      <c r="N32" s="37">
        <v>0.5</v>
      </c>
      <c r="R32" s="4">
        <v>11000</v>
      </c>
      <c r="S32" s="7">
        <f t="shared" ref="S32:S54" si="23">R32*0.00223</f>
        <v>24.53</v>
      </c>
      <c r="T32" s="7">
        <f t="shared" si="15"/>
        <v>2.1816615649929121</v>
      </c>
      <c r="U32" s="7">
        <f t="shared" si="16"/>
        <v>3.1415926535897931</v>
      </c>
      <c r="V32" s="7">
        <f t="shared" si="17"/>
        <v>2.1816615649929121</v>
      </c>
      <c r="W32" s="7">
        <f t="shared" si="18"/>
        <v>2.1816615649929121</v>
      </c>
      <c r="X32" s="8">
        <f t="shared" ref="X32:X54" si="24">S32/T32</f>
        <v>11.243723771647275</v>
      </c>
      <c r="Y32" s="8">
        <f t="shared" si="1"/>
        <v>7.8081415080883856</v>
      </c>
      <c r="Z32" s="8">
        <f t="shared" si="2"/>
        <v>11.243723771647275</v>
      </c>
      <c r="AA32" s="8">
        <f t="shared" si="3"/>
        <v>11.243723771647275</v>
      </c>
      <c r="AB32" s="8">
        <f t="shared" si="4"/>
        <v>5.7517776407080836</v>
      </c>
      <c r="AC32" s="8">
        <f t="shared" si="5"/>
        <v>0.34080972937453097</v>
      </c>
      <c r="AD32" s="8">
        <f t="shared" si="19"/>
        <v>2.5323526131445147</v>
      </c>
      <c r="AE32" s="8">
        <f t="shared" si="6"/>
        <v>1.2956222671902167</v>
      </c>
      <c r="AF32" s="8">
        <f t="shared" si="7"/>
        <v>0.24657942083935655</v>
      </c>
      <c r="AG32" s="8">
        <f t="shared" si="8"/>
        <v>0.55279622794914984</v>
      </c>
      <c r="AH32" s="8">
        <f t="shared" si="9"/>
        <v>48.384219914590304</v>
      </c>
      <c r="AI32" s="8">
        <f t="shared" si="10"/>
        <v>3.0999567993453594</v>
      </c>
      <c r="AJ32" s="8">
        <f t="shared" si="11"/>
        <v>9.9205622504173459</v>
      </c>
      <c r="AK32" s="31">
        <f t="shared" si="12"/>
        <v>52.283552362724166</v>
      </c>
      <c r="AL32" s="8">
        <f t="shared" si="20"/>
        <v>20.090000000000146</v>
      </c>
      <c r="AM32" s="8">
        <f t="shared" si="13"/>
        <v>10.059999999999491</v>
      </c>
      <c r="AN32" s="8">
        <f t="shared" si="21"/>
        <v>82.294114613141659</v>
      </c>
      <c r="AO32" s="15">
        <f t="shared" si="22"/>
        <v>72.264114613141004</v>
      </c>
    </row>
    <row r="33" spans="1:41" x14ac:dyDescent="0.25">
      <c r="A33" t="s">
        <v>46</v>
      </c>
      <c r="B33" s="37">
        <v>0.8</v>
      </c>
      <c r="E33" t="s">
        <v>46</v>
      </c>
      <c r="F33" s="37">
        <v>0.8</v>
      </c>
      <c r="I33" t="s">
        <v>46</v>
      </c>
      <c r="J33" s="37">
        <v>0.8</v>
      </c>
      <c r="M33" t="s">
        <v>46</v>
      </c>
      <c r="N33" s="37">
        <v>0.8</v>
      </c>
      <c r="R33" s="4">
        <v>11500</v>
      </c>
      <c r="S33" s="7">
        <f t="shared" si="23"/>
        <v>25.645000000000003</v>
      </c>
      <c r="T33" s="7">
        <f t="shared" si="15"/>
        <v>2.1816615649929121</v>
      </c>
      <c r="U33" s="7">
        <f t="shared" si="16"/>
        <v>3.1415926535897931</v>
      </c>
      <c r="V33" s="7">
        <f t="shared" si="17"/>
        <v>2.1816615649929121</v>
      </c>
      <c r="W33" s="7">
        <f t="shared" si="18"/>
        <v>2.1816615649929121</v>
      </c>
      <c r="X33" s="8">
        <f t="shared" si="24"/>
        <v>11.75480212490397</v>
      </c>
      <c r="Y33" s="8">
        <f t="shared" si="1"/>
        <v>8.1630570311833139</v>
      </c>
      <c r="Z33" s="8">
        <f t="shared" si="2"/>
        <v>11.75480212490397</v>
      </c>
      <c r="AA33" s="8">
        <f t="shared" si="3"/>
        <v>11.75480212490397</v>
      </c>
      <c r="AB33" s="8">
        <f t="shared" si="4"/>
        <v>6.2865503552367281</v>
      </c>
      <c r="AC33" s="8">
        <f t="shared" si="5"/>
        <v>0.37249658437836147</v>
      </c>
      <c r="AD33" s="8">
        <f t="shared" si="19"/>
        <v>2.7677986205649763</v>
      </c>
      <c r="AE33" s="8">
        <f t="shared" si="6"/>
        <v>1.4160830151727783</v>
      </c>
      <c r="AF33" s="8">
        <f t="shared" si="7"/>
        <v>0.26771417399093644</v>
      </c>
      <c r="AG33" s="8">
        <f t="shared" si="8"/>
        <v>0.60017735886859214</v>
      </c>
      <c r="AH33" s="8">
        <f t="shared" si="9"/>
        <v>52.531315973319501</v>
      </c>
      <c r="AI33" s="8">
        <f t="shared" si="10"/>
        <v>3.3656595149722621</v>
      </c>
      <c r="AJ33" s="8">
        <f t="shared" si="11"/>
        <v>10.842928575352845</v>
      </c>
      <c r="AK33" s="31">
        <f t="shared" si="12"/>
        <v>56.764867021151296</v>
      </c>
      <c r="AL33" s="8">
        <f t="shared" si="20"/>
        <v>20.090000000000146</v>
      </c>
      <c r="AM33" s="8">
        <f t="shared" si="13"/>
        <v>10.059999999999491</v>
      </c>
      <c r="AN33" s="8">
        <f t="shared" si="21"/>
        <v>87.697795596504292</v>
      </c>
      <c r="AO33" s="15">
        <f t="shared" si="22"/>
        <v>77.667795596503638</v>
      </c>
    </row>
    <row r="34" spans="1:41" x14ac:dyDescent="0.25">
      <c r="A34" t="s">
        <v>47</v>
      </c>
      <c r="B34" s="37">
        <v>1</v>
      </c>
      <c r="E34" t="s">
        <v>47</v>
      </c>
      <c r="F34" s="37">
        <v>1</v>
      </c>
      <c r="I34" t="s">
        <v>47</v>
      </c>
      <c r="J34" s="37">
        <v>1</v>
      </c>
      <c r="M34" t="s">
        <v>47</v>
      </c>
      <c r="N34" s="37">
        <v>1</v>
      </c>
      <c r="O34">
        <v>0</v>
      </c>
      <c r="R34" s="4">
        <v>12000</v>
      </c>
      <c r="S34" s="7">
        <f t="shared" si="23"/>
        <v>26.76</v>
      </c>
      <c r="T34" s="7">
        <f t="shared" si="15"/>
        <v>2.1816615649929121</v>
      </c>
      <c r="U34" s="7">
        <f t="shared" si="16"/>
        <v>3.1415926535897931</v>
      </c>
      <c r="V34" s="7">
        <f t="shared" si="17"/>
        <v>2.1816615649929121</v>
      </c>
      <c r="W34" s="7">
        <f t="shared" si="18"/>
        <v>2.1816615649929121</v>
      </c>
      <c r="X34" s="8">
        <f t="shared" si="24"/>
        <v>12.265880478160664</v>
      </c>
      <c r="Y34" s="8">
        <f t="shared" si="1"/>
        <v>8.5179725542782396</v>
      </c>
      <c r="Z34" s="8">
        <f t="shared" si="2"/>
        <v>12.265880478160664</v>
      </c>
      <c r="AA34" s="8">
        <f t="shared" si="3"/>
        <v>12.265880478160664</v>
      </c>
      <c r="AB34" s="8">
        <f t="shared" si="4"/>
        <v>6.8450907459666457</v>
      </c>
      <c r="AC34" s="8">
        <f t="shared" si="5"/>
        <v>0.40559174404902865</v>
      </c>
      <c r="AD34" s="8">
        <f t="shared" si="19"/>
        <v>3.0137088949819022</v>
      </c>
      <c r="AE34" s="8">
        <f t="shared" si="6"/>
        <v>1.5418975741767871</v>
      </c>
      <c r="AF34" s="8">
        <f t="shared" si="7"/>
        <v>0.2896447531976678</v>
      </c>
      <c r="AG34" s="8">
        <f t="shared" si="8"/>
        <v>0.64934261937960291</v>
      </c>
      <c r="AH34" s="8">
        <f t="shared" si="9"/>
        <v>56.834570330803352</v>
      </c>
      <c r="AI34" s="8">
        <f t="shared" si="10"/>
        <v>3.6413672277005653</v>
      </c>
      <c r="AJ34" s="8">
        <f t="shared" si="11"/>
        <v>11.806288959174363</v>
      </c>
      <c r="AK34" s="31">
        <f t="shared" si="12"/>
        <v>61.414924931081188</v>
      </c>
      <c r="AL34" s="8">
        <f t="shared" si="20"/>
        <v>20.090000000000146</v>
      </c>
      <c r="AM34" s="8">
        <f t="shared" si="13"/>
        <v>10.059999999999491</v>
      </c>
      <c r="AN34" s="8">
        <f t="shared" si="21"/>
        <v>93.311213890255701</v>
      </c>
      <c r="AO34" s="15">
        <f t="shared" si="22"/>
        <v>83.281213890255046</v>
      </c>
    </row>
    <row r="35" spans="1:41" x14ac:dyDescent="0.25">
      <c r="A35" t="s">
        <v>48</v>
      </c>
      <c r="B35" s="37">
        <v>0.36</v>
      </c>
      <c r="C35">
        <v>3</v>
      </c>
      <c r="E35" t="s">
        <v>48</v>
      </c>
      <c r="F35" s="37">
        <v>0.36</v>
      </c>
      <c r="G35">
        <v>1</v>
      </c>
      <c r="I35" t="s">
        <v>48</v>
      </c>
      <c r="J35" s="37">
        <v>0.36</v>
      </c>
      <c r="K35">
        <v>2</v>
      </c>
      <c r="M35" t="s">
        <v>48</v>
      </c>
      <c r="N35" s="37">
        <v>0.36</v>
      </c>
      <c r="O35">
        <v>1</v>
      </c>
      <c r="R35" s="4">
        <v>12500</v>
      </c>
      <c r="S35" s="7">
        <f t="shared" si="23"/>
        <v>27.875000000000004</v>
      </c>
      <c r="T35" s="7">
        <f t="shared" si="15"/>
        <v>2.1816615649929121</v>
      </c>
      <c r="U35" s="7">
        <f t="shared" si="16"/>
        <v>3.1415926535897931</v>
      </c>
      <c r="V35" s="7">
        <f t="shared" si="17"/>
        <v>2.1816615649929121</v>
      </c>
      <c r="W35" s="7">
        <f t="shared" si="18"/>
        <v>2.1816615649929121</v>
      </c>
      <c r="X35" s="8">
        <f t="shared" si="24"/>
        <v>12.776958831417359</v>
      </c>
      <c r="Y35" s="8">
        <f t="shared" si="1"/>
        <v>8.8728880773731671</v>
      </c>
      <c r="Z35" s="8">
        <f t="shared" si="2"/>
        <v>12.776958831417359</v>
      </c>
      <c r="AA35" s="8">
        <f t="shared" si="3"/>
        <v>12.776958831417359</v>
      </c>
      <c r="AB35" s="8">
        <f t="shared" si="4"/>
        <v>7.4273988128978363</v>
      </c>
      <c r="AC35" s="8">
        <f t="shared" si="5"/>
        <v>0.44009520838653288</v>
      </c>
      <c r="AD35" s="8">
        <f t="shared" si="19"/>
        <v>3.2700834363952933</v>
      </c>
      <c r="AE35" s="8">
        <f t="shared" si="6"/>
        <v>1.6730659442022431</v>
      </c>
      <c r="AF35" s="8">
        <f t="shared" si="7"/>
        <v>0.31236609237966217</v>
      </c>
      <c r="AG35" s="8">
        <f t="shared" si="8"/>
        <v>0.70028065204674339</v>
      </c>
      <c r="AH35" s="8">
        <f t="shared" si="9"/>
        <v>61.292988912505884</v>
      </c>
      <c r="AI35" s="8">
        <f t="shared" si="10"/>
        <v>3.9270162475891439</v>
      </c>
      <c r="AJ35" s="8">
        <f t="shared" si="11"/>
        <v>12.810643401881906</v>
      </c>
      <c r="AK35" s="31">
        <f t="shared" si="12"/>
        <v>66.232651904521433</v>
      </c>
      <c r="AL35" s="8">
        <f t="shared" si="20"/>
        <v>20.090000000000146</v>
      </c>
      <c r="AM35" s="8">
        <f t="shared" si="13"/>
        <v>10.059999999999491</v>
      </c>
      <c r="AN35" s="8">
        <f t="shared" si="21"/>
        <v>99.133295306403483</v>
      </c>
      <c r="AO35" s="15">
        <f t="shared" si="22"/>
        <v>89.103295306402828</v>
      </c>
    </row>
    <row r="36" spans="1:41" x14ac:dyDescent="0.25">
      <c r="A36" t="s">
        <v>49</v>
      </c>
      <c r="B36" s="37">
        <v>0.19</v>
      </c>
      <c r="E36" t="s">
        <v>49</v>
      </c>
      <c r="F36" s="37">
        <v>0.19</v>
      </c>
      <c r="I36" t="s">
        <v>49</v>
      </c>
      <c r="J36" s="37">
        <v>0.19</v>
      </c>
      <c r="M36" t="s">
        <v>49</v>
      </c>
      <c r="N36" s="37">
        <v>0.19</v>
      </c>
      <c r="R36" s="4">
        <v>13000</v>
      </c>
      <c r="S36" s="7">
        <f t="shared" si="23"/>
        <v>28.990000000000002</v>
      </c>
      <c r="T36" s="7">
        <f t="shared" si="15"/>
        <v>2.1816615649929121</v>
      </c>
      <c r="U36" s="7">
        <f t="shared" si="16"/>
        <v>3.1415926535897931</v>
      </c>
      <c r="V36" s="7">
        <f t="shared" si="17"/>
        <v>2.1816615649929121</v>
      </c>
      <c r="W36" s="7">
        <f t="shared" si="18"/>
        <v>2.1816615649929121</v>
      </c>
      <c r="X36" s="8">
        <f t="shared" si="24"/>
        <v>13.288037184674051</v>
      </c>
      <c r="Y36" s="8">
        <f t="shared" si="1"/>
        <v>9.2278036004680928</v>
      </c>
      <c r="Z36" s="8">
        <f t="shared" si="2"/>
        <v>13.288037184674051</v>
      </c>
      <c r="AA36" s="8">
        <f t="shared" si="3"/>
        <v>13.288037184674051</v>
      </c>
      <c r="AB36" s="8">
        <f t="shared" si="4"/>
        <v>8.0334745560302974</v>
      </c>
      <c r="AC36" s="8">
        <f t="shared" si="5"/>
        <v>0.47600697739087389</v>
      </c>
      <c r="AD36" s="8">
        <f t="shared" si="19"/>
        <v>3.5369222448051487</v>
      </c>
      <c r="AE36" s="8">
        <f t="shared" si="6"/>
        <v>1.8095881252491455</v>
      </c>
      <c r="AF36" s="8">
        <f t="shared" si="7"/>
        <v>0.33587336273261886</v>
      </c>
      <c r="AG36" s="8">
        <f t="shared" si="8"/>
        <v>0.75298063137292248</v>
      </c>
      <c r="AH36" s="8">
        <f t="shared" si="9"/>
        <v>65.905624202496867</v>
      </c>
      <c r="AI36" s="8">
        <f t="shared" si="10"/>
        <v>4.2225458676873782</v>
      </c>
      <c r="AJ36" s="8">
        <f t="shared" si="11"/>
        <v>13.855991903475466</v>
      </c>
      <c r="AK36" s="31">
        <f t="shared" si="12"/>
        <v>71.217024064289788</v>
      </c>
      <c r="AL36" s="8">
        <f t="shared" si="20"/>
        <v>20.090000000000146</v>
      </c>
      <c r="AM36" s="8">
        <f t="shared" si="13"/>
        <v>10.059999999999491</v>
      </c>
      <c r="AN36" s="8">
        <f t="shared" si="21"/>
        <v>105.1630159677654</v>
      </c>
      <c r="AO36" s="15">
        <f t="shared" si="22"/>
        <v>95.133015967764749</v>
      </c>
    </row>
    <row r="37" spans="1:41" x14ac:dyDescent="0.25">
      <c r="A37" t="s">
        <v>50</v>
      </c>
      <c r="B37" s="37">
        <v>0.19</v>
      </c>
      <c r="E37" t="s">
        <v>50</v>
      </c>
      <c r="F37" s="37">
        <v>0.19</v>
      </c>
      <c r="G37">
        <v>0</v>
      </c>
      <c r="I37" t="s">
        <v>50</v>
      </c>
      <c r="J37" s="37">
        <v>0.19</v>
      </c>
      <c r="K37">
        <v>3</v>
      </c>
      <c r="M37" t="s">
        <v>50</v>
      </c>
      <c r="N37" s="37">
        <v>0.19</v>
      </c>
      <c r="R37" s="4">
        <v>13500</v>
      </c>
      <c r="S37" s="7">
        <f t="shared" si="23"/>
        <v>30.105000000000004</v>
      </c>
      <c r="T37" s="7">
        <f t="shared" si="15"/>
        <v>2.1816615649929121</v>
      </c>
      <c r="U37" s="7">
        <f t="shared" si="16"/>
        <v>3.1415926535897931</v>
      </c>
      <c r="V37" s="7">
        <f t="shared" si="17"/>
        <v>2.1816615649929121</v>
      </c>
      <c r="W37" s="7">
        <f t="shared" si="18"/>
        <v>2.1816615649929121</v>
      </c>
      <c r="X37" s="8">
        <f t="shared" si="24"/>
        <v>13.799115537930748</v>
      </c>
      <c r="Y37" s="8">
        <f t="shared" si="1"/>
        <v>9.5827191235630202</v>
      </c>
      <c r="Z37" s="8">
        <f t="shared" si="2"/>
        <v>13.799115537930748</v>
      </c>
      <c r="AA37" s="8">
        <f t="shared" si="3"/>
        <v>13.799115537930748</v>
      </c>
      <c r="AB37" s="8">
        <f t="shared" si="4"/>
        <v>8.6633179753640359</v>
      </c>
      <c r="AC37" s="8">
        <f t="shared" si="5"/>
        <v>0.5133270510620519</v>
      </c>
      <c r="AD37" s="8">
        <f t="shared" si="19"/>
        <v>3.8142253202114702</v>
      </c>
      <c r="AE37" s="8">
        <f t="shared" si="6"/>
        <v>1.9514641173174962</v>
      </c>
      <c r="AF37" s="8">
        <f t="shared" si="7"/>
        <v>0.36016195275699608</v>
      </c>
      <c r="AG37" s="8">
        <f t="shared" si="8"/>
        <v>0.80743221902762141</v>
      </c>
      <c r="AH37" s="8">
        <f t="shared" si="9"/>
        <v>70.671571324744519</v>
      </c>
      <c r="AI37" s="8">
        <f t="shared" si="10"/>
        <v>4.5278981129651097</v>
      </c>
      <c r="AJ37" s="8">
        <f t="shared" si="11"/>
        <v>14.942334463955055</v>
      </c>
      <c r="AK37" s="31">
        <f t="shared" si="12"/>
        <v>76.367063609494238</v>
      </c>
      <c r="AL37" s="8">
        <f t="shared" si="20"/>
        <v>20.090000000000146</v>
      </c>
      <c r="AM37" s="8">
        <f t="shared" si="13"/>
        <v>10.059999999999491</v>
      </c>
      <c r="AN37" s="8">
        <f t="shared" si="21"/>
        <v>111.39939807344943</v>
      </c>
      <c r="AO37" s="15">
        <f t="shared" si="22"/>
        <v>101.36939807344878</v>
      </c>
    </row>
    <row r="38" spans="1:41" x14ac:dyDescent="0.25">
      <c r="A38" t="s">
        <v>51</v>
      </c>
      <c r="B38" s="37">
        <v>0.1</v>
      </c>
      <c r="E38" t="s">
        <v>51</v>
      </c>
      <c r="F38" s="37">
        <v>0.1</v>
      </c>
      <c r="I38" t="s">
        <v>51</v>
      </c>
      <c r="J38" s="37">
        <v>0.1</v>
      </c>
      <c r="M38" t="s">
        <v>51</v>
      </c>
      <c r="N38" s="37">
        <v>0.1</v>
      </c>
      <c r="R38" s="4">
        <v>14000</v>
      </c>
      <c r="S38" s="7">
        <f t="shared" si="23"/>
        <v>31.220000000000002</v>
      </c>
      <c r="T38" s="7">
        <f t="shared" si="15"/>
        <v>2.1816615649929121</v>
      </c>
      <c r="U38" s="7">
        <f t="shared" si="16"/>
        <v>3.1415926535897931</v>
      </c>
      <c r="V38" s="7">
        <f t="shared" si="17"/>
        <v>2.1816615649929121</v>
      </c>
      <c r="W38" s="7">
        <f t="shared" si="18"/>
        <v>2.1816615649929121</v>
      </c>
      <c r="X38" s="8">
        <f t="shared" si="24"/>
        <v>14.31019389118744</v>
      </c>
      <c r="Y38" s="8">
        <f t="shared" si="1"/>
        <v>9.9376346466579459</v>
      </c>
      <c r="Z38" s="8">
        <f t="shared" si="2"/>
        <v>14.31019389118744</v>
      </c>
      <c r="AA38" s="8">
        <f t="shared" si="3"/>
        <v>14.31019389118744</v>
      </c>
      <c r="AB38" s="8">
        <f t="shared" si="4"/>
        <v>9.3169290708990431</v>
      </c>
      <c r="AC38" s="8">
        <f t="shared" si="5"/>
        <v>0.5520554294000668</v>
      </c>
      <c r="AD38" s="8">
        <f t="shared" si="19"/>
        <v>4.1019926626142551</v>
      </c>
      <c r="AE38" s="8">
        <f t="shared" si="6"/>
        <v>2.098693920407293</v>
      </c>
      <c r="AF38" s="8">
        <f t="shared" si="7"/>
        <v>0.38522745065791925</v>
      </c>
      <c r="AG38" s="8">
        <f t="shared" si="8"/>
        <v>0.86362552438997253</v>
      </c>
      <c r="AH38" s="8">
        <f t="shared" si="9"/>
        <v>75.589964589594629</v>
      </c>
      <c r="AI38" s="8">
        <f t="shared" si="10"/>
        <v>4.843017519047117</v>
      </c>
      <c r="AJ38" s="8">
        <f t="shared" si="11"/>
        <v>16.069671083320657</v>
      </c>
      <c r="AK38" s="31">
        <f t="shared" si="12"/>
        <v>81.681835083689649</v>
      </c>
      <c r="AL38" s="8">
        <f t="shared" si="20"/>
        <v>20.090000000000146</v>
      </c>
      <c r="AM38" s="8">
        <f t="shared" si="13"/>
        <v>10.059999999999491</v>
      </c>
      <c r="AN38" s="8">
        <f t="shared" si="21"/>
        <v>117.84150616701045</v>
      </c>
      <c r="AO38" s="15">
        <f t="shared" si="22"/>
        <v>107.8115061670098</v>
      </c>
    </row>
    <row r="39" spans="1:41" x14ac:dyDescent="0.25">
      <c r="A39" t="s">
        <v>52</v>
      </c>
      <c r="B39" s="37">
        <v>0.24</v>
      </c>
      <c r="E39" t="s">
        <v>52</v>
      </c>
      <c r="F39" s="37">
        <v>0.24</v>
      </c>
      <c r="I39" t="s">
        <v>52</v>
      </c>
      <c r="J39" s="37">
        <v>0.24</v>
      </c>
      <c r="M39" t="s">
        <v>52</v>
      </c>
      <c r="N39" s="37">
        <v>0.24</v>
      </c>
      <c r="R39" s="4">
        <v>14500</v>
      </c>
      <c r="S39" s="7">
        <f t="shared" si="23"/>
        <v>32.335000000000001</v>
      </c>
      <c r="T39" s="7">
        <f t="shared" si="15"/>
        <v>2.1816615649929121</v>
      </c>
      <c r="U39" s="7">
        <f t="shared" si="16"/>
        <v>3.1415926535897931</v>
      </c>
      <c r="V39" s="7">
        <f t="shared" si="17"/>
        <v>2.1816615649929121</v>
      </c>
      <c r="W39" s="7">
        <f t="shared" si="18"/>
        <v>2.1816615649929121</v>
      </c>
      <c r="X39" s="8">
        <f t="shared" si="24"/>
        <v>14.821272244444135</v>
      </c>
      <c r="Y39" s="8">
        <f t="shared" si="1"/>
        <v>10.292550169752872</v>
      </c>
      <c r="Z39" s="8">
        <f t="shared" si="2"/>
        <v>14.821272244444135</v>
      </c>
      <c r="AA39" s="8">
        <f t="shared" si="3"/>
        <v>14.821272244444135</v>
      </c>
      <c r="AB39" s="8">
        <f t="shared" si="4"/>
        <v>9.994307842635326</v>
      </c>
      <c r="AC39" s="8">
        <f t="shared" si="5"/>
        <v>0.59219211240491842</v>
      </c>
      <c r="AD39" s="8">
        <f t="shared" si="19"/>
        <v>4.4002242720135056</v>
      </c>
      <c r="AE39" s="8">
        <f t="shared" si="6"/>
        <v>2.2512775345185374</v>
      </c>
      <c r="AF39" s="8">
        <f t="shared" si="7"/>
        <v>0.41106562875837394</v>
      </c>
      <c r="AG39" s="8">
        <f t="shared" si="8"/>
        <v>0.92155106960534161</v>
      </c>
      <c r="AH39" s="8">
        <f t="shared" si="9"/>
        <v>80.659974435303724</v>
      </c>
      <c r="AI39" s="8">
        <f t="shared" si="10"/>
        <v>5.1678509362582936</v>
      </c>
      <c r="AJ39" s="8">
        <f t="shared" si="11"/>
        <v>17.238001761572285</v>
      </c>
      <c r="AK39" s="31">
        <f t="shared" si="12"/>
        <v>87.160442069925736</v>
      </c>
      <c r="AL39" s="8">
        <f t="shared" si="20"/>
        <v>20.090000000000146</v>
      </c>
      <c r="AM39" s="8">
        <f t="shared" si="13"/>
        <v>10.059999999999491</v>
      </c>
      <c r="AN39" s="8">
        <f t="shared" si="21"/>
        <v>124.48844383149816</v>
      </c>
      <c r="AO39" s="15">
        <f t="shared" si="22"/>
        <v>114.4584438314975</v>
      </c>
    </row>
    <row r="40" spans="1:41" x14ac:dyDescent="0.25">
      <c r="A40" t="s">
        <v>53</v>
      </c>
      <c r="B40" s="37">
        <v>0.72</v>
      </c>
      <c r="C40">
        <v>0</v>
      </c>
      <c r="E40" t="s">
        <v>53</v>
      </c>
      <c r="F40" s="37">
        <v>0.72</v>
      </c>
      <c r="G40">
        <v>0</v>
      </c>
      <c r="I40" t="s">
        <v>53</v>
      </c>
      <c r="J40" s="37">
        <v>0.72</v>
      </c>
      <c r="K40">
        <v>0</v>
      </c>
      <c r="M40" t="s">
        <v>53</v>
      </c>
      <c r="N40" s="37">
        <v>0.72</v>
      </c>
      <c r="O40">
        <v>0</v>
      </c>
      <c r="R40" s="4">
        <v>15000</v>
      </c>
      <c r="S40" s="7">
        <f t="shared" si="23"/>
        <v>33.450000000000003</v>
      </c>
      <c r="T40" s="7">
        <f t="shared" si="15"/>
        <v>2.1816615649929121</v>
      </c>
      <c r="U40" s="7">
        <f t="shared" si="16"/>
        <v>3.1415926535897931</v>
      </c>
      <c r="V40" s="7">
        <f t="shared" si="17"/>
        <v>2.1816615649929121</v>
      </c>
      <c r="W40" s="7">
        <f t="shared" si="18"/>
        <v>2.1816615649929121</v>
      </c>
      <c r="X40" s="8">
        <f t="shared" si="24"/>
        <v>15.332350597700829</v>
      </c>
      <c r="Y40" s="8">
        <f t="shared" si="1"/>
        <v>10.647465692847799</v>
      </c>
      <c r="Z40" s="8">
        <f t="shared" si="2"/>
        <v>15.332350597700829</v>
      </c>
      <c r="AA40" s="8">
        <f t="shared" si="3"/>
        <v>15.332350597700829</v>
      </c>
      <c r="AB40" s="8">
        <f t="shared" si="4"/>
        <v>10.695454290572881</v>
      </c>
      <c r="AC40" s="8">
        <f t="shared" si="5"/>
        <v>0.63373710007660722</v>
      </c>
      <c r="AD40" s="8">
        <f t="shared" si="19"/>
        <v>4.7089201484092218</v>
      </c>
      <c r="AE40" s="8">
        <f t="shared" si="6"/>
        <v>2.4092149596512296</v>
      </c>
      <c r="AF40" s="8">
        <f t="shared" si="7"/>
        <v>0.4376724296328528</v>
      </c>
      <c r="AG40" s="8">
        <f t="shared" si="8"/>
        <v>0.98119975849892227</v>
      </c>
      <c r="AH40" s="8">
        <f t="shared" si="9"/>
        <v>85.880804707158234</v>
      </c>
      <c r="AI40" s="8">
        <f t="shared" si="10"/>
        <v>5.5023473552980784</v>
      </c>
      <c r="AJ40" s="8">
        <f t="shared" si="11"/>
        <v>18.447326498709941</v>
      </c>
      <c r="AK40" s="31">
        <f t="shared" si="12"/>
        <v>92.80202425058809</v>
      </c>
      <c r="AL40" s="8">
        <f t="shared" si="20"/>
        <v>20.090000000000146</v>
      </c>
      <c r="AM40" s="8">
        <f t="shared" si="13"/>
        <v>10.059999999999491</v>
      </c>
      <c r="AN40" s="8">
        <f t="shared" si="21"/>
        <v>131.33935074929818</v>
      </c>
      <c r="AO40" s="15">
        <f t="shared" si="22"/>
        <v>121.30935074929752</v>
      </c>
    </row>
    <row r="41" spans="1:41" x14ac:dyDescent="0.25">
      <c r="A41" t="s">
        <v>54</v>
      </c>
      <c r="B41" s="37">
        <v>0.04</v>
      </c>
      <c r="E41" t="s">
        <v>54</v>
      </c>
      <c r="F41" s="37">
        <v>0.04</v>
      </c>
      <c r="I41" t="s">
        <v>54</v>
      </c>
      <c r="J41" s="37">
        <v>0.04</v>
      </c>
      <c r="M41" t="s">
        <v>54</v>
      </c>
      <c r="N41" s="37">
        <v>0.04</v>
      </c>
      <c r="R41" s="4">
        <v>15500</v>
      </c>
      <c r="S41" s="7">
        <f t="shared" si="23"/>
        <v>34.565000000000005</v>
      </c>
      <c r="T41" s="7">
        <f t="shared" si="15"/>
        <v>2.1816615649929121</v>
      </c>
      <c r="U41" s="7">
        <f t="shared" si="16"/>
        <v>3.1415926535897931</v>
      </c>
      <c r="V41" s="7">
        <f t="shared" si="17"/>
        <v>2.1816615649929121</v>
      </c>
      <c r="W41" s="7">
        <f t="shared" si="18"/>
        <v>2.1816615649929121</v>
      </c>
      <c r="X41" s="8">
        <f t="shared" si="24"/>
        <v>15.843428950957525</v>
      </c>
      <c r="Y41" s="8">
        <f t="shared" si="1"/>
        <v>11.002381215942727</v>
      </c>
      <c r="Z41" s="8">
        <f t="shared" si="2"/>
        <v>15.843428950957525</v>
      </c>
      <c r="AA41" s="8">
        <f t="shared" si="3"/>
        <v>15.843428950957525</v>
      </c>
      <c r="AB41" s="8">
        <f t="shared" si="4"/>
        <v>11.420368414711714</v>
      </c>
      <c r="AC41" s="8">
        <f t="shared" si="5"/>
        <v>0.67669039241513296</v>
      </c>
      <c r="AD41" s="8">
        <f t="shared" si="19"/>
        <v>5.0280802918014036</v>
      </c>
      <c r="AE41" s="8">
        <f t="shared" si="6"/>
        <v>2.572506195805369</v>
      </c>
      <c r="AF41" s="8">
        <f t="shared" si="7"/>
        <v>0.4650439537196373</v>
      </c>
      <c r="AG41" s="8">
        <f t="shared" si="8"/>
        <v>1.0425628488042213</v>
      </c>
      <c r="AH41" s="8">
        <f t="shared" si="9"/>
        <v>91.251690226738233</v>
      </c>
      <c r="AI41" s="8">
        <f t="shared" si="10"/>
        <v>5.8464577515040617</v>
      </c>
      <c r="AJ41" s="8">
        <f t="shared" si="11"/>
        <v>19.697645294733618</v>
      </c>
      <c r="AK41" s="31">
        <f t="shared" si="12"/>
        <v>98.605754780766148</v>
      </c>
      <c r="AL41" s="8">
        <f t="shared" si="20"/>
        <v>20.090000000000146</v>
      </c>
      <c r="AM41" s="8">
        <f t="shared" si="13"/>
        <v>10.059999999999491</v>
      </c>
      <c r="AN41" s="8">
        <f t="shared" si="21"/>
        <v>138.39340007549993</v>
      </c>
      <c r="AO41" s="15">
        <f t="shared" si="22"/>
        <v>128.36340007549927</v>
      </c>
    </row>
    <row r="42" spans="1:41" x14ac:dyDescent="0.25">
      <c r="A42" t="s">
        <v>55</v>
      </c>
      <c r="B42" s="37">
        <v>0.04</v>
      </c>
      <c r="E42" t="s">
        <v>55</v>
      </c>
      <c r="F42" s="37">
        <v>0.04</v>
      </c>
      <c r="I42" t="s">
        <v>55</v>
      </c>
      <c r="J42" s="37">
        <v>0.04</v>
      </c>
      <c r="M42" t="s">
        <v>55</v>
      </c>
      <c r="N42" s="37">
        <v>0.04</v>
      </c>
      <c r="R42" s="4">
        <v>16000</v>
      </c>
      <c r="S42" s="7">
        <f t="shared" si="23"/>
        <v>35.680000000000007</v>
      </c>
      <c r="T42" s="7">
        <f t="shared" si="15"/>
        <v>2.1816615649929121</v>
      </c>
      <c r="U42" s="7">
        <f t="shared" si="16"/>
        <v>3.1415926535897931</v>
      </c>
      <c r="V42" s="7">
        <f t="shared" si="17"/>
        <v>2.1816615649929121</v>
      </c>
      <c r="W42" s="7">
        <f t="shared" si="18"/>
        <v>2.1816615649929121</v>
      </c>
      <c r="X42" s="8">
        <f t="shared" si="24"/>
        <v>16.35450730421422</v>
      </c>
      <c r="Y42" s="8">
        <f t="shared" si="1"/>
        <v>11.357296739037654</v>
      </c>
      <c r="Z42" s="8">
        <f t="shared" si="2"/>
        <v>16.35450730421422</v>
      </c>
      <c r="AA42" s="8">
        <f t="shared" si="3"/>
        <v>16.35450730421422</v>
      </c>
      <c r="AB42" s="8">
        <f t="shared" si="4"/>
        <v>12.169050215051817</v>
      </c>
      <c r="AC42" s="8">
        <f t="shared" si="5"/>
        <v>0.72105198942049553</v>
      </c>
      <c r="AD42" s="8">
        <f t="shared" si="19"/>
        <v>5.3577047021900501</v>
      </c>
      <c r="AE42" s="8">
        <f t="shared" si="6"/>
        <v>2.7411512429809552</v>
      </c>
      <c r="AF42" s="8">
        <f t="shared" si="7"/>
        <v>0.49317644821077355</v>
      </c>
      <c r="AG42" s="8">
        <f t="shared" si="8"/>
        <v>1.1056319272559547</v>
      </c>
      <c r="AH42" s="8">
        <f t="shared" si="9"/>
        <v>96.771894611888129</v>
      </c>
      <c r="AI42" s="8">
        <f t="shared" si="10"/>
        <v>6.2001349451785472</v>
      </c>
      <c r="AJ42" s="8">
        <f t="shared" si="11"/>
        <v>20.988958149643317</v>
      </c>
      <c r="AK42" s="31">
        <f t="shared" si="12"/>
        <v>104.57083793253341</v>
      </c>
      <c r="AL42" s="8">
        <f t="shared" si="20"/>
        <v>20.090000000000146</v>
      </c>
      <c r="AM42" s="8">
        <f t="shared" si="13"/>
        <v>10.059999999999491</v>
      </c>
      <c r="AN42" s="8">
        <f t="shared" si="21"/>
        <v>145.64979608217686</v>
      </c>
      <c r="AO42" s="15">
        <f t="shared" si="22"/>
        <v>135.61979608217621</v>
      </c>
    </row>
    <row r="43" spans="1:41" x14ac:dyDescent="0.25">
      <c r="A43" t="s">
        <v>78</v>
      </c>
      <c r="B43" s="37">
        <v>0.3</v>
      </c>
      <c r="C43">
        <v>2</v>
      </c>
      <c r="E43" t="s">
        <v>78</v>
      </c>
      <c r="F43" s="37">
        <v>0.3</v>
      </c>
      <c r="I43" t="s">
        <v>78</v>
      </c>
      <c r="J43" s="37">
        <v>0.3</v>
      </c>
      <c r="M43" t="s">
        <v>78</v>
      </c>
      <c r="N43" s="37">
        <v>0.3</v>
      </c>
      <c r="O43">
        <v>1</v>
      </c>
      <c r="R43" s="4">
        <v>16500</v>
      </c>
      <c r="S43" s="7">
        <f t="shared" si="23"/>
        <v>36.795000000000002</v>
      </c>
      <c r="T43" s="7">
        <f t="shared" si="15"/>
        <v>2.1816615649929121</v>
      </c>
      <c r="U43" s="7">
        <f t="shared" si="16"/>
        <v>3.1415926535897931</v>
      </c>
      <c r="V43" s="7">
        <f t="shared" si="17"/>
        <v>2.1816615649929121</v>
      </c>
      <c r="W43" s="7">
        <f t="shared" si="18"/>
        <v>2.1816615649929121</v>
      </c>
      <c r="X43" s="8">
        <f t="shared" si="24"/>
        <v>16.865585657470913</v>
      </c>
      <c r="Y43" s="8">
        <f t="shared" si="1"/>
        <v>11.712212262132578</v>
      </c>
      <c r="Z43" s="8">
        <f t="shared" si="2"/>
        <v>16.865585657470913</v>
      </c>
      <c r="AA43" s="8">
        <f t="shared" si="3"/>
        <v>16.865585657470913</v>
      </c>
      <c r="AB43" s="8">
        <f t="shared" si="4"/>
        <v>12.941499691593187</v>
      </c>
      <c r="AC43" s="8">
        <f t="shared" si="5"/>
        <v>0.76682189109269461</v>
      </c>
      <c r="AD43" s="8">
        <f t="shared" si="19"/>
        <v>5.6977933795751587</v>
      </c>
      <c r="AE43" s="8">
        <f t="shared" si="6"/>
        <v>2.9151501011779875</v>
      </c>
      <c r="AF43" s="8">
        <f t="shared" si="7"/>
        <v>0.52206629705154617</v>
      </c>
      <c r="AG43" s="8">
        <f t="shared" si="8"/>
        <v>1.1703988871702804</v>
      </c>
      <c r="AH43" s="8">
        <f t="shared" si="9"/>
        <v>102.44070831439851</v>
      </c>
      <c r="AI43" s="8">
        <f t="shared" si="10"/>
        <v>6.5633334758635486</v>
      </c>
      <c r="AJ43" s="8">
        <f t="shared" si="11"/>
        <v>22.321265063439029</v>
      </c>
      <c r="AK43" s="31">
        <f t="shared" si="12"/>
        <v>110.69650697448388</v>
      </c>
      <c r="AL43" s="8">
        <f t="shared" si="20"/>
        <v>20.090000000000146</v>
      </c>
      <c r="AM43" s="8">
        <f t="shared" si="13"/>
        <v>10.059999999999491</v>
      </c>
      <c r="AN43" s="8">
        <f t="shared" si="21"/>
        <v>153.10777203792304</v>
      </c>
      <c r="AO43" s="15">
        <f t="shared" si="22"/>
        <v>143.07777203792239</v>
      </c>
    </row>
    <row r="44" spans="1:41" x14ac:dyDescent="0.25">
      <c r="A44" t="s">
        <v>56</v>
      </c>
      <c r="B44" s="37">
        <v>0.1</v>
      </c>
      <c r="E44" t="s">
        <v>56</v>
      </c>
      <c r="F44" s="37">
        <v>0.1</v>
      </c>
      <c r="I44" t="s">
        <v>56</v>
      </c>
      <c r="J44" s="37">
        <v>0.1</v>
      </c>
      <c r="M44" t="s">
        <v>56</v>
      </c>
      <c r="N44" s="37">
        <v>0.1</v>
      </c>
      <c r="R44" s="4">
        <v>17000</v>
      </c>
      <c r="S44" s="7">
        <f t="shared" si="23"/>
        <v>37.910000000000004</v>
      </c>
      <c r="T44" s="7">
        <f t="shared" si="15"/>
        <v>2.1816615649929121</v>
      </c>
      <c r="U44" s="7">
        <f t="shared" si="16"/>
        <v>3.1415926535897931</v>
      </c>
      <c r="V44" s="7">
        <f t="shared" si="17"/>
        <v>2.1816615649929121</v>
      </c>
      <c r="W44" s="7">
        <f t="shared" si="18"/>
        <v>2.1816615649929121</v>
      </c>
      <c r="X44" s="8">
        <f t="shared" si="24"/>
        <v>17.376664010727605</v>
      </c>
      <c r="Y44" s="8">
        <f t="shared" si="1"/>
        <v>12.067127785227505</v>
      </c>
      <c r="Z44" s="8">
        <f t="shared" si="2"/>
        <v>17.376664010727605</v>
      </c>
      <c r="AA44" s="8">
        <f t="shared" si="3"/>
        <v>17.376664010727605</v>
      </c>
      <c r="AB44" s="8">
        <f t="shared" si="4"/>
        <v>13.737716844335832</v>
      </c>
      <c r="AC44" s="8">
        <f t="shared" si="5"/>
        <v>0.81400009743173107</v>
      </c>
      <c r="AD44" s="8">
        <f t="shared" si="19"/>
        <v>6.048346323956733</v>
      </c>
      <c r="AE44" s="8">
        <f t="shared" si="6"/>
        <v>3.0945027703964674</v>
      </c>
      <c r="AF44" s="8">
        <f t="shared" si="7"/>
        <v>0.55171001190796798</v>
      </c>
      <c r="AG44" s="8">
        <f t="shared" si="8"/>
        <v>1.2368559081951858</v>
      </c>
      <c r="AH44" s="8">
        <f t="shared" si="9"/>
        <v>108.25744684763131</v>
      </c>
      <c r="AI44" s="8">
        <f t="shared" si="10"/>
        <v>6.9360094887855173</v>
      </c>
      <c r="AJ44" s="8">
        <f t="shared" si="11"/>
        <v>23.694566036120762</v>
      </c>
      <c r="AK44" s="31">
        <f t="shared" si="12"/>
        <v>116.98202225651998</v>
      </c>
      <c r="AL44" s="8">
        <f t="shared" si="20"/>
        <v>20.090000000000146</v>
      </c>
      <c r="AM44" s="8">
        <f t="shared" si="13"/>
        <v>10.059999999999491</v>
      </c>
      <c r="AN44" s="8">
        <f t="shared" si="21"/>
        <v>160.7665882926409</v>
      </c>
      <c r="AO44" s="15">
        <f t="shared" si="22"/>
        <v>150.73658829264025</v>
      </c>
    </row>
    <row r="45" spans="1:41" x14ac:dyDescent="0.25">
      <c r="A45" t="s">
        <v>57</v>
      </c>
      <c r="B45" s="37">
        <v>0.9</v>
      </c>
      <c r="E45" t="s">
        <v>57</v>
      </c>
      <c r="F45" s="37">
        <v>0.9</v>
      </c>
      <c r="I45" t="s">
        <v>57</v>
      </c>
      <c r="J45" s="37">
        <v>0.9</v>
      </c>
      <c r="M45" t="s">
        <v>57</v>
      </c>
      <c r="N45" s="37">
        <v>0.9</v>
      </c>
      <c r="R45" s="4">
        <v>17500</v>
      </c>
      <c r="S45" s="7">
        <f t="shared" si="23"/>
        <v>39.025000000000006</v>
      </c>
      <c r="T45" s="7">
        <f t="shared" si="15"/>
        <v>2.1816615649929121</v>
      </c>
      <c r="U45" s="7">
        <f t="shared" si="16"/>
        <v>3.1415926535897931</v>
      </c>
      <c r="V45" s="7">
        <f t="shared" si="17"/>
        <v>2.1816615649929121</v>
      </c>
      <c r="W45" s="7">
        <f t="shared" si="18"/>
        <v>2.1816615649929121</v>
      </c>
      <c r="X45" s="8">
        <f t="shared" si="24"/>
        <v>17.887742363984302</v>
      </c>
      <c r="Y45" s="8">
        <f t="shared" si="1"/>
        <v>12.422043308322433</v>
      </c>
      <c r="Z45" s="8">
        <f t="shared" si="2"/>
        <v>17.887742363984302</v>
      </c>
      <c r="AA45" s="8">
        <f t="shared" si="3"/>
        <v>17.887742363984302</v>
      </c>
      <c r="AB45" s="8">
        <f t="shared" si="4"/>
        <v>14.557701673279759</v>
      </c>
      <c r="AC45" s="8">
        <f t="shared" si="5"/>
        <v>0.86258660843760437</v>
      </c>
      <c r="AD45" s="8">
        <f t="shared" si="19"/>
        <v>6.4093635353347747</v>
      </c>
      <c r="AE45" s="8">
        <f t="shared" si="6"/>
        <v>3.2792092506363959</v>
      </c>
      <c r="AF45" s="8">
        <f t="shared" si="7"/>
        <v>0.58210422398246642</v>
      </c>
      <c r="AG45" s="8">
        <f t="shared" si="8"/>
        <v>1.304995437962414</v>
      </c>
      <c r="AH45" s="8">
        <f t="shared" si="9"/>
        <v>114.22144918058049</v>
      </c>
      <c r="AI45" s="8">
        <f t="shared" si="10"/>
        <v>7.3181206319634793</v>
      </c>
      <c r="AJ45" s="8">
        <f t="shared" si="11"/>
        <v>25.108861067688533</v>
      </c>
      <c r="AK45" s="31">
        <f t="shared" si="12"/>
        <v>123.42666947448886</v>
      </c>
      <c r="AL45" s="8">
        <f t="shared" si="20"/>
        <v>20.090000000000146</v>
      </c>
      <c r="AM45" s="8">
        <f t="shared" si="13"/>
        <v>10.059999999999491</v>
      </c>
      <c r="AN45" s="8">
        <f t="shared" si="21"/>
        <v>168.62553054217753</v>
      </c>
      <c r="AO45" s="15">
        <f t="shared" si="22"/>
        <v>158.59553054217687</v>
      </c>
    </row>
    <row r="46" spans="1:41" x14ac:dyDescent="0.25">
      <c r="A46" t="s">
        <v>58</v>
      </c>
      <c r="B46" s="37">
        <v>4.5</v>
      </c>
      <c r="E46" t="s">
        <v>58</v>
      </c>
      <c r="F46" s="37">
        <v>4.5</v>
      </c>
      <c r="I46" t="s">
        <v>58</v>
      </c>
      <c r="J46" s="37">
        <v>4.5</v>
      </c>
      <c r="M46" t="s">
        <v>58</v>
      </c>
      <c r="N46" s="37">
        <v>4.5</v>
      </c>
      <c r="R46" s="4">
        <v>18000</v>
      </c>
      <c r="S46" s="7">
        <f t="shared" si="23"/>
        <v>40.14</v>
      </c>
      <c r="T46" s="7">
        <f t="shared" si="15"/>
        <v>2.1816615649929121</v>
      </c>
      <c r="U46" s="7">
        <f t="shared" si="16"/>
        <v>3.1415926535897931</v>
      </c>
      <c r="V46" s="7">
        <f t="shared" si="17"/>
        <v>2.1816615649929121</v>
      </c>
      <c r="W46" s="7">
        <f t="shared" si="18"/>
        <v>2.1816615649929121</v>
      </c>
      <c r="X46" s="8">
        <f t="shared" si="24"/>
        <v>18.398820717240994</v>
      </c>
      <c r="Y46" s="8">
        <f t="shared" si="1"/>
        <v>12.776958831417359</v>
      </c>
      <c r="Z46" s="8">
        <f t="shared" si="2"/>
        <v>18.398820717240994</v>
      </c>
      <c r="AA46" s="8">
        <f t="shared" si="3"/>
        <v>18.398820717240994</v>
      </c>
      <c r="AB46" s="8">
        <f t="shared" si="4"/>
        <v>15.401454178424949</v>
      </c>
      <c r="AC46" s="8">
        <f t="shared" si="5"/>
        <v>0.9125814241103144</v>
      </c>
      <c r="AD46" s="8">
        <f t="shared" si="19"/>
        <v>6.7808450137092793</v>
      </c>
      <c r="AE46" s="8">
        <f t="shared" si="6"/>
        <v>3.4692695418977699</v>
      </c>
      <c r="AF46" s="8">
        <f t="shared" si="7"/>
        <v>0.61324567657586093</v>
      </c>
      <c r="AG46" s="8">
        <f t="shared" si="8"/>
        <v>1.3748101754124669</v>
      </c>
      <c r="AH46" s="8">
        <f t="shared" si="9"/>
        <v>120.33207627837152</v>
      </c>
      <c r="AI46" s="8">
        <f t="shared" si="10"/>
        <v>7.7096259626994019</v>
      </c>
      <c r="AJ46" s="8">
        <f t="shared" si="11"/>
        <v>26.564150158142311</v>
      </c>
      <c r="AK46" s="31">
        <f t="shared" si="12"/>
        <v>130.02975809305923</v>
      </c>
      <c r="AL46" s="8">
        <f t="shared" si="20"/>
        <v>20.090000000000146</v>
      </c>
      <c r="AM46" s="8">
        <f t="shared" si="13"/>
        <v>10.059999999999491</v>
      </c>
      <c r="AN46" s="8">
        <f t="shared" si="21"/>
        <v>176.68390825120167</v>
      </c>
      <c r="AO46" s="15">
        <f t="shared" si="22"/>
        <v>166.65390825120102</v>
      </c>
    </row>
    <row r="47" spans="1:41" x14ac:dyDescent="0.25">
      <c r="A47" t="s">
        <v>59</v>
      </c>
      <c r="B47" s="37">
        <v>24</v>
      </c>
      <c r="E47" t="s">
        <v>59</v>
      </c>
      <c r="F47" s="37">
        <v>24</v>
      </c>
      <c r="I47" t="s">
        <v>59</v>
      </c>
      <c r="J47" s="37">
        <v>24</v>
      </c>
      <c r="M47" t="s">
        <v>59</v>
      </c>
      <c r="N47" s="37">
        <v>24</v>
      </c>
      <c r="R47" s="4">
        <v>18500</v>
      </c>
      <c r="S47" s="7">
        <f t="shared" si="23"/>
        <v>41.255000000000003</v>
      </c>
      <c r="T47" s="7">
        <f t="shared" si="15"/>
        <v>2.1816615649929121</v>
      </c>
      <c r="U47" s="7">
        <f t="shared" si="16"/>
        <v>3.1415926535897931</v>
      </c>
      <c r="V47" s="7">
        <f t="shared" si="17"/>
        <v>2.1816615649929121</v>
      </c>
      <c r="W47" s="7">
        <f t="shared" si="18"/>
        <v>2.1816615649929121</v>
      </c>
      <c r="X47" s="8">
        <f t="shared" si="24"/>
        <v>18.909899070497691</v>
      </c>
      <c r="Y47" s="8">
        <f t="shared" si="1"/>
        <v>13.131874354512286</v>
      </c>
      <c r="Z47" s="8">
        <f t="shared" si="2"/>
        <v>18.909899070497691</v>
      </c>
      <c r="AA47" s="8">
        <f t="shared" si="3"/>
        <v>18.909899070497691</v>
      </c>
      <c r="AB47" s="8">
        <f t="shared" si="4"/>
        <v>16.268974359771416</v>
      </c>
      <c r="AC47" s="8">
        <f t="shared" si="5"/>
        <v>0.96398454444986148</v>
      </c>
      <c r="AD47" s="8">
        <f t="shared" si="19"/>
        <v>7.1627907590802504</v>
      </c>
      <c r="AE47" s="8">
        <f t="shared" si="6"/>
        <v>3.6646836441805926</v>
      </c>
      <c r="AF47" s="8">
        <f t="shared" si="7"/>
        <v>0.64513121830848608</v>
      </c>
      <c r="AG47" s="8">
        <f t="shared" si="8"/>
        <v>1.4462930555973206</v>
      </c>
      <c r="AH47" s="8">
        <f t="shared" si="9"/>
        <v>126.58870977209814</v>
      </c>
      <c r="AI47" s="8">
        <f t="shared" si="10"/>
        <v>8.1104858623552492</v>
      </c>
      <c r="AJ47" s="8">
        <f t="shared" si="11"/>
        <v>28.060433307482121</v>
      </c>
      <c r="AK47" s="31">
        <f t="shared" si="12"/>
        <v>136.79061990835922</v>
      </c>
      <c r="AL47" s="8">
        <f t="shared" si="20"/>
        <v>20.090000000000146</v>
      </c>
      <c r="AM47" s="8">
        <f t="shared" si="13"/>
        <v>10.059999999999491</v>
      </c>
      <c r="AN47" s="8">
        <f t="shared" si="21"/>
        <v>184.94105321584149</v>
      </c>
      <c r="AO47" s="15">
        <f t="shared" si="22"/>
        <v>174.91105321584084</v>
      </c>
    </row>
    <row r="48" spans="1:41" x14ac:dyDescent="0.25">
      <c r="A48" t="s">
        <v>60</v>
      </c>
      <c r="B48" s="37">
        <v>0.5</v>
      </c>
      <c r="E48" t="s">
        <v>60</v>
      </c>
      <c r="F48" s="37">
        <v>0.5</v>
      </c>
      <c r="I48" t="s">
        <v>60</v>
      </c>
      <c r="J48" s="37">
        <v>0.5</v>
      </c>
      <c r="M48" t="s">
        <v>60</v>
      </c>
      <c r="N48" s="37">
        <v>0.5</v>
      </c>
      <c r="R48" s="4">
        <v>19000</v>
      </c>
      <c r="S48" s="7">
        <f t="shared" si="23"/>
        <v>42.370000000000005</v>
      </c>
      <c r="T48" s="7">
        <f t="shared" si="15"/>
        <v>2.1816615649929121</v>
      </c>
      <c r="U48" s="7">
        <f t="shared" si="16"/>
        <v>3.1415926535897931</v>
      </c>
      <c r="V48" s="7">
        <f t="shared" si="17"/>
        <v>2.1816615649929121</v>
      </c>
      <c r="W48" s="7">
        <f t="shared" si="18"/>
        <v>2.1816615649929121</v>
      </c>
      <c r="X48" s="8">
        <f t="shared" si="24"/>
        <v>19.420977423754383</v>
      </c>
      <c r="Y48" s="8">
        <f t="shared" si="1"/>
        <v>13.486789877607213</v>
      </c>
      <c r="Z48" s="8">
        <f t="shared" si="2"/>
        <v>19.420977423754383</v>
      </c>
      <c r="AA48" s="8">
        <f t="shared" si="3"/>
        <v>19.420977423754383</v>
      </c>
      <c r="AB48" s="8">
        <f t="shared" si="4"/>
        <v>17.160262217319154</v>
      </c>
      <c r="AC48" s="8">
        <f t="shared" si="5"/>
        <v>1.0167959694562456</v>
      </c>
      <c r="AD48" s="8">
        <f t="shared" si="19"/>
        <v>7.5552007714476836</v>
      </c>
      <c r="AE48" s="8">
        <f t="shared" si="6"/>
        <v>3.8654515574848611</v>
      </c>
      <c r="AF48" s="8">
        <f t="shared" si="7"/>
        <v>0.67775779692558191</v>
      </c>
      <c r="AG48" s="8">
        <f t="shared" si="8"/>
        <v>1.5194372357929873</v>
      </c>
      <c r="AH48" s="8">
        <f t="shared" si="9"/>
        <v>132.99075074330565</v>
      </c>
      <c r="AI48" s="8">
        <f t="shared" si="10"/>
        <v>8.5206619584753494</v>
      </c>
      <c r="AJ48" s="8">
        <f t="shared" si="11"/>
        <v>29.597710515707945</v>
      </c>
      <c r="AK48" s="31">
        <f t="shared" si="12"/>
        <v>143.70860773449959</v>
      </c>
      <c r="AL48" s="8">
        <f t="shared" si="20"/>
        <v>20.090000000000146</v>
      </c>
      <c r="AM48" s="8">
        <f t="shared" si="13"/>
        <v>10.059999999999491</v>
      </c>
      <c r="AN48" s="8">
        <f t="shared" si="21"/>
        <v>193.39631825020768</v>
      </c>
      <c r="AO48" s="15">
        <f t="shared" si="22"/>
        <v>183.36631825020703</v>
      </c>
    </row>
    <row r="49" spans="1:41" x14ac:dyDescent="0.25">
      <c r="A49" t="s">
        <v>61</v>
      </c>
      <c r="B49" s="37">
        <v>0.75</v>
      </c>
      <c r="E49" t="s">
        <v>61</v>
      </c>
      <c r="F49" s="37">
        <v>0.75</v>
      </c>
      <c r="I49" t="s">
        <v>61</v>
      </c>
      <c r="J49" s="37">
        <v>0.75</v>
      </c>
      <c r="M49" t="s">
        <v>61</v>
      </c>
      <c r="N49" s="37">
        <v>0.75</v>
      </c>
      <c r="R49" s="4">
        <v>19500</v>
      </c>
      <c r="S49" s="7">
        <f t="shared" si="23"/>
        <v>43.485000000000007</v>
      </c>
      <c r="T49" s="7">
        <f t="shared" si="15"/>
        <v>2.1816615649929121</v>
      </c>
      <c r="U49" s="7">
        <f t="shared" si="16"/>
        <v>3.1415926535897931</v>
      </c>
      <c r="V49" s="7">
        <f t="shared" si="17"/>
        <v>2.1816615649929121</v>
      </c>
      <c r="W49" s="7">
        <f t="shared" si="18"/>
        <v>2.1816615649929121</v>
      </c>
      <c r="X49" s="8">
        <f t="shared" si="24"/>
        <v>19.93205577701108</v>
      </c>
      <c r="Y49" s="8">
        <f t="shared" si="1"/>
        <v>13.841705400702139</v>
      </c>
      <c r="Z49" s="8">
        <f t="shared" si="2"/>
        <v>19.93205577701108</v>
      </c>
      <c r="AA49" s="8">
        <f t="shared" si="3"/>
        <v>19.93205577701108</v>
      </c>
      <c r="AB49" s="8">
        <f t="shared" si="4"/>
        <v>18.075317751068173</v>
      </c>
      <c r="AC49" s="8">
        <f t="shared" si="5"/>
        <v>1.0710156991294661</v>
      </c>
      <c r="AD49" s="8">
        <f t="shared" si="19"/>
        <v>7.9580750508115852</v>
      </c>
      <c r="AE49" s="8">
        <f t="shared" si="6"/>
        <v>4.0715732818105783</v>
      </c>
      <c r="AF49" s="8">
        <f t="shared" si="7"/>
        <v>0.71112245362238058</v>
      </c>
      <c r="AG49" s="8">
        <f t="shared" si="8"/>
        <v>1.5942360827771584</v>
      </c>
      <c r="AH49" s="8">
        <f t="shared" si="9"/>
        <v>139.53761861045189</v>
      </c>
      <c r="AI49" s="8">
        <f t="shared" si="10"/>
        <v>8.940117053442286</v>
      </c>
      <c r="AJ49" s="8">
        <f t="shared" si="11"/>
        <v>31.175981782819804</v>
      </c>
      <c r="AK49" s="31">
        <f t="shared" si="12"/>
        <v>150.78309420029373</v>
      </c>
      <c r="AL49" s="8">
        <f t="shared" si="20"/>
        <v>20.090000000000146</v>
      </c>
      <c r="AM49" s="8">
        <f t="shared" si="13"/>
        <v>10.059999999999491</v>
      </c>
      <c r="AN49" s="8">
        <f t="shared" si="21"/>
        <v>202.04907598311368</v>
      </c>
      <c r="AO49" s="15">
        <f t="shared" si="22"/>
        <v>192.01907598311303</v>
      </c>
    </row>
    <row r="50" spans="1:41" x14ac:dyDescent="0.25">
      <c r="A50" t="s">
        <v>62</v>
      </c>
      <c r="B50" s="37">
        <v>0.5</v>
      </c>
      <c r="E50" t="s">
        <v>62</v>
      </c>
      <c r="F50" s="37">
        <v>0.5</v>
      </c>
      <c r="I50" t="s">
        <v>62</v>
      </c>
      <c r="J50" s="37">
        <v>0.5</v>
      </c>
      <c r="M50" t="s">
        <v>62</v>
      </c>
      <c r="N50" s="37">
        <v>0.5</v>
      </c>
      <c r="R50" s="4">
        <v>20000</v>
      </c>
      <c r="S50" s="7">
        <f t="shared" si="23"/>
        <v>44.6</v>
      </c>
      <c r="T50" s="7">
        <f t="shared" si="15"/>
        <v>2.1816615649929121</v>
      </c>
      <c r="U50" s="7">
        <f t="shared" si="16"/>
        <v>3.1415926535897931</v>
      </c>
      <c r="V50" s="7">
        <f t="shared" si="17"/>
        <v>2.1816615649929121</v>
      </c>
      <c r="W50" s="7">
        <f t="shared" si="18"/>
        <v>2.1816615649929121</v>
      </c>
      <c r="X50" s="8">
        <f t="shared" si="24"/>
        <v>20.443134130267772</v>
      </c>
      <c r="Y50" s="8">
        <f t="shared" si="1"/>
        <v>14.196620923797065</v>
      </c>
      <c r="Z50" s="8">
        <f t="shared" si="2"/>
        <v>20.443134130267772</v>
      </c>
      <c r="AA50" s="8">
        <f t="shared" si="3"/>
        <v>20.443134130267772</v>
      </c>
      <c r="AB50" s="8">
        <f t="shared" si="4"/>
        <v>19.014140961018459</v>
      </c>
      <c r="AC50" s="8">
        <f t="shared" si="5"/>
        <v>1.1266437334695238</v>
      </c>
      <c r="AD50" s="8">
        <f t="shared" si="19"/>
        <v>8.3714135971719497</v>
      </c>
      <c r="AE50" s="8">
        <f t="shared" si="6"/>
        <v>4.2830488171577414</v>
      </c>
      <c r="AF50" s="8">
        <f t="shared" si="7"/>
        <v>0.74522231783291992</v>
      </c>
      <c r="AG50" s="8">
        <f t="shared" si="8"/>
        <v>1.6706831611464645</v>
      </c>
      <c r="AH50" s="8">
        <f t="shared" si="9"/>
        <v>146.22875010635784</v>
      </c>
      <c r="AI50" s="8">
        <f t="shared" si="10"/>
        <v>9.3688150589627153</v>
      </c>
      <c r="AJ50" s="8">
        <f t="shared" si="11"/>
        <v>32.795247108817676</v>
      </c>
      <c r="AK50" s="31">
        <f t="shared" si="12"/>
        <v>158.01347064429996</v>
      </c>
      <c r="AL50" s="8">
        <f t="shared" si="20"/>
        <v>20.090000000000146</v>
      </c>
      <c r="AM50" s="8">
        <f t="shared" si="13"/>
        <v>10.059999999999491</v>
      </c>
      <c r="AN50" s="8">
        <f t="shared" si="21"/>
        <v>210.89871775311778</v>
      </c>
      <c r="AO50" s="15">
        <f t="shared" si="22"/>
        <v>200.86871775311712</v>
      </c>
    </row>
    <row r="51" spans="1:41" x14ac:dyDescent="0.25">
      <c r="A51" t="s">
        <v>63</v>
      </c>
      <c r="B51" s="37">
        <v>0.66</v>
      </c>
      <c r="E51" t="s">
        <v>63</v>
      </c>
      <c r="F51" s="37">
        <v>0.66</v>
      </c>
      <c r="I51" t="s">
        <v>63</v>
      </c>
      <c r="J51" s="37">
        <v>0.66</v>
      </c>
      <c r="M51" t="s">
        <v>63</v>
      </c>
      <c r="N51" s="37">
        <v>0.66</v>
      </c>
      <c r="R51" s="4">
        <v>20500</v>
      </c>
      <c r="S51" s="7">
        <f t="shared" si="23"/>
        <v>45.715000000000003</v>
      </c>
      <c r="T51" s="7">
        <f t="shared" si="15"/>
        <v>2.1816615649929121</v>
      </c>
      <c r="U51" s="7">
        <f t="shared" si="16"/>
        <v>3.1415926535897931</v>
      </c>
      <c r="V51" s="7">
        <f t="shared" si="17"/>
        <v>2.1816615649929121</v>
      </c>
      <c r="W51" s="7">
        <f t="shared" si="18"/>
        <v>2.1816615649929121</v>
      </c>
      <c r="X51" s="8">
        <f t="shared" si="24"/>
        <v>20.954212483524469</v>
      </c>
      <c r="Y51" s="8">
        <f t="shared" si="1"/>
        <v>14.551536446891992</v>
      </c>
      <c r="Z51" s="8">
        <f t="shared" si="2"/>
        <v>20.954212483524469</v>
      </c>
      <c r="AA51" s="8">
        <f t="shared" si="3"/>
        <v>20.954212483524469</v>
      </c>
      <c r="AB51" s="8">
        <f t="shared" si="4"/>
        <v>19.976731847170019</v>
      </c>
      <c r="AC51" s="8">
        <f t="shared" si="5"/>
        <v>1.1836800724764187</v>
      </c>
      <c r="AD51" s="8">
        <f t="shared" si="19"/>
        <v>8.7952164105287807</v>
      </c>
      <c r="AE51" s="8">
        <f t="shared" si="6"/>
        <v>4.4998781635263523</v>
      </c>
      <c r="AF51" s="8">
        <f t="shared" si="7"/>
        <v>0.78005460243391256</v>
      </c>
      <c r="AG51" s="8">
        <f t="shared" si="8"/>
        <v>1.7487722225642237</v>
      </c>
      <c r="AH51" s="8">
        <f t="shared" si="9"/>
        <v>153.06359833710289</v>
      </c>
      <c r="AI51" s="8">
        <f t="shared" si="10"/>
        <v>9.8067209357711711</v>
      </c>
      <c r="AJ51" s="8">
        <f t="shared" si="11"/>
        <v>34.45550649370157</v>
      </c>
      <c r="AK51" s="31">
        <f t="shared" si="12"/>
        <v>165.3991460978722</v>
      </c>
      <c r="AL51" s="8">
        <f t="shared" si="20"/>
        <v>20.090000000000146</v>
      </c>
      <c r="AM51" s="8">
        <f t="shared" si="13"/>
        <v>10.059999999999491</v>
      </c>
      <c r="AN51" s="8">
        <f t="shared" si="21"/>
        <v>219.94465259157391</v>
      </c>
      <c r="AO51" s="15">
        <f t="shared" si="22"/>
        <v>209.91465259157326</v>
      </c>
    </row>
    <row r="52" spans="1:41" x14ac:dyDescent="0.25">
      <c r="A52" t="s">
        <v>64</v>
      </c>
      <c r="B52" s="37">
        <v>1.2</v>
      </c>
      <c r="E52" t="s">
        <v>64</v>
      </c>
      <c r="F52" s="37">
        <v>1.2</v>
      </c>
      <c r="I52" t="s">
        <v>64</v>
      </c>
      <c r="J52" s="37">
        <v>1.2</v>
      </c>
      <c r="M52" t="s">
        <v>64</v>
      </c>
      <c r="N52" s="37">
        <v>1.2</v>
      </c>
      <c r="R52" s="4">
        <v>21000</v>
      </c>
      <c r="S52" s="7">
        <f t="shared" si="23"/>
        <v>46.830000000000005</v>
      </c>
      <c r="T52" s="7">
        <f t="shared" si="15"/>
        <v>2.1816615649929121</v>
      </c>
      <c r="U52" s="7">
        <f t="shared" si="16"/>
        <v>3.1415926535897931</v>
      </c>
      <c r="V52" s="7">
        <f t="shared" si="17"/>
        <v>2.1816615649929121</v>
      </c>
      <c r="W52" s="7">
        <f t="shared" si="18"/>
        <v>2.1816615649929121</v>
      </c>
      <c r="X52" s="8">
        <f t="shared" si="24"/>
        <v>21.465290836781161</v>
      </c>
      <c r="Y52" s="8">
        <f t="shared" si="1"/>
        <v>14.90645196998692</v>
      </c>
      <c r="Z52" s="8">
        <f t="shared" si="2"/>
        <v>21.465290836781161</v>
      </c>
      <c r="AA52" s="8">
        <f t="shared" si="3"/>
        <v>21.465290836781161</v>
      </c>
      <c r="AB52" s="8">
        <f t="shared" si="4"/>
        <v>20.963090409522849</v>
      </c>
      <c r="AC52" s="8">
        <f t="shared" si="5"/>
        <v>1.2421247161501503</v>
      </c>
      <c r="AD52" s="8">
        <f t="shared" si="19"/>
        <v>9.2294834908820746</v>
      </c>
      <c r="AE52" s="8">
        <f t="shared" si="6"/>
        <v>4.72206132091641</v>
      </c>
      <c r="AF52" s="8">
        <f t="shared" si="7"/>
        <v>0.81561659932120034</v>
      </c>
      <c r="AG52" s="8">
        <f t="shared" si="8"/>
        <v>1.8284971958434797</v>
      </c>
      <c r="AH52" s="8">
        <f t="shared" si="9"/>
        <v>160.04163191403097</v>
      </c>
      <c r="AI52" s="8">
        <f t="shared" si="10"/>
        <v>10.253800638017966</v>
      </c>
      <c r="AJ52" s="8">
        <f t="shared" si="11"/>
        <v>36.156759937471485</v>
      </c>
      <c r="AK52" s="31">
        <f t="shared" si="12"/>
        <v>172.93954634721362</v>
      </c>
      <c r="AL52" s="8">
        <f t="shared" si="20"/>
        <v>20.090000000000146</v>
      </c>
      <c r="AM52" s="8">
        <f t="shared" si="13"/>
        <v>10.059999999999491</v>
      </c>
      <c r="AN52" s="8">
        <f t="shared" si="21"/>
        <v>229.18630628468526</v>
      </c>
      <c r="AO52" s="15">
        <f t="shared" si="22"/>
        <v>219.1563062846846</v>
      </c>
    </row>
    <row r="53" spans="1:41" x14ac:dyDescent="0.25">
      <c r="A53" t="s">
        <v>65</v>
      </c>
      <c r="B53" s="37">
        <v>1.2</v>
      </c>
      <c r="C53">
        <v>1</v>
      </c>
      <c r="E53" t="s">
        <v>65</v>
      </c>
      <c r="F53" s="37">
        <v>1.2</v>
      </c>
      <c r="I53" t="s">
        <v>65</v>
      </c>
      <c r="J53" s="37">
        <v>1.2</v>
      </c>
      <c r="M53" t="s">
        <v>65</v>
      </c>
      <c r="N53" s="37">
        <v>1.2</v>
      </c>
      <c r="R53" s="4">
        <v>21500</v>
      </c>
      <c r="S53" s="7">
        <f t="shared" si="23"/>
        <v>47.945000000000007</v>
      </c>
      <c r="T53" s="7">
        <f t="shared" si="15"/>
        <v>2.1816615649929121</v>
      </c>
      <c r="U53" s="7">
        <f t="shared" si="16"/>
        <v>3.1415926535897931</v>
      </c>
      <c r="V53" s="7">
        <f t="shared" si="17"/>
        <v>2.1816615649929121</v>
      </c>
      <c r="W53" s="7">
        <f t="shared" si="18"/>
        <v>2.1816615649929121</v>
      </c>
      <c r="X53" s="8">
        <f t="shared" si="24"/>
        <v>21.976369190037857</v>
      </c>
      <c r="Y53" s="8">
        <f t="shared" si="1"/>
        <v>15.261367493081847</v>
      </c>
      <c r="Z53" s="8">
        <f t="shared" si="2"/>
        <v>21.976369190037857</v>
      </c>
      <c r="AA53" s="8">
        <f t="shared" si="3"/>
        <v>21.976369190037857</v>
      </c>
      <c r="AB53" s="8">
        <f t="shared" si="4"/>
        <v>21.97321664807696</v>
      </c>
      <c r="AC53" s="8">
        <f t="shared" si="5"/>
        <v>1.3019776644907191</v>
      </c>
      <c r="AD53" s="8">
        <f t="shared" si="19"/>
        <v>9.6742148382318369</v>
      </c>
      <c r="AE53" s="8">
        <f t="shared" si="6"/>
        <v>4.9495982893279162</v>
      </c>
      <c r="AF53" s="8">
        <f t="shared" si="7"/>
        <v>0.85190567532155348</v>
      </c>
      <c r="AG53" s="8">
        <f t="shared" si="8"/>
        <v>1.9098521777818318</v>
      </c>
      <c r="AH53" s="8">
        <f t="shared" si="9"/>
        <v>167.16233415155546</v>
      </c>
      <c r="AI53" s="8">
        <f t="shared" si="10"/>
        <v>10.710021061872979</v>
      </c>
      <c r="AJ53" s="8">
        <f t="shared" si="11"/>
        <v>37.899007440127427</v>
      </c>
      <c r="AK53" s="31">
        <f t="shared" si="12"/>
        <v>180.63411306653182</v>
      </c>
      <c r="AL53" s="8">
        <f t="shared" si="20"/>
        <v>20.090000000000146</v>
      </c>
      <c r="AM53" s="8">
        <f t="shared" si="13"/>
        <v>10.059999999999491</v>
      </c>
      <c r="AN53" s="8">
        <f t="shared" si="21"/>
        <v>238.6231205066594</v>
      </c>
      <c r="AO53" s="15">
        <f t="shared" si="22"/>
        <v>228.59312050665875</v>
      </c>
    </row>
    <row r="54" spans="1:41" x14ac:dyDescent="0.25">
      <c r="A54" t="s">
        <v>66</v>
      </c>
      <c r="B54" s="37">
        <v>0.1</v>
      </c>
      <c r="E54" t="s">
        <v>66</v>
      </c>
      <c r="F54" s="37">
        <v>0.1</v>
      </c>
      <c r="I54" t="s">
        <v>66</v>
      </c>
      <c r="J54" s="37">
        <v>0.1</v>
      </c>
      <c r="M54" t="s">
        <v>66</v>
      </c>
      <c r="N54" s="37">
        <v>0.1</v>
      </c>
      <c r="R54" s="4">
        <v>22000</v>
      </c>
      <c r="S54" s="7">
        <f t="shared" si="23"/>
        <v>49.06</v>
      </c>
      <c r="T54" s="7">
        <f t="shared" si="15"/>
        <v>2.1816615649929121</v>
      </c>
      <c r="U54" s="7">
        <f t="shared" si="16"/>
        <v>3.1415926535897931</v>
      </c>
      <c r="V54" s="7">
        <f t="shared" si="17"/>
        <v>2.1816615649929121</v>
      </c>
      <c r="W54" s="7">
        <f t="shared" si="18"/>
        <v>2.1816615649929121</v>
      </c>
      <c r="X54" s="8">
        <f t="shared" si="24"/>
        <v>22.48744754329455</v>
      </c>
      <c r="Y54" s="8">
        <f t="shared" si="1"/>
        <v>15.616283016176771</v>
      </c>
      <c r="Z54" s="8">
        <f t="shared" si="2"/>
        <v>22.48744754329455</v>
      </c>
      <c r="AA54" s="8">
        <f t="shared" si="3"/>
        <v>22.48744754329455</v>
      </c>
      <c r="AB54" s="8">
        <f t="shared" si="4"/>
        <v>23.007110562832334</v>
      </c>
      <c r="AC54" s="8">
        <f t="shared" si="5"/>
        <v>1.3632389174981239</v>
      </c>
      <c r="AD54" s="8">
        <f t="shared" si="19"/>
        <v>10.129410452578059</v>
      </c>
      <c r="AE54" s="8">
        <f t="shared" si="6"/>
        <v>5.1824890687608667</v>
      </c>
      <c r="AF54" s="8">
        <f t="shared" si="7"/>
        <v>0.88891926840712332</v>
      </c>
      <c r="AG54" s="8">
        <f t="shared" si="8"/>
        <v>1.9928314246747745</v>
      </c>
      <c r="AH54" s="8">
        <f t="shared" si="9"/>
        <v>174.42520232435444</v>
      </c>
      <c r="AI54" s="8">
        <f t="shared" si="10"/>
        <v>11.175349997934383</v>
      </c>
      <c r="AJ54" s="8">
        <f t="shared" si="11"/>
        <v>39.682249001669383</v>
      </c>
      <c r="AK54" s="31">
        <f t="shared" si="12"/>
        <v>188.48230301537072</v>
      </c>
      <c r="AL54" s="8">
        <f t="shared" si="20"/>
        <v>20.090000000000146</v>
      </c>
      <c r="AM54" s="8">
        <f t="shared" si="13"/>
        <v>10.059999999999491</v>
      </c>
      <c r="AN54" s="8">
        <f t="shared" si="21"/>
        <v>248.25455201704025</v>
      </c>
      <c r="AO54" s="15">
        <f t="shared" si="22"/>
        <v>238.2245520170396</v>
      </c>
    </row>
    <row r="55" spans="1:41" x14ac:dyDescent="0.25">
      <c r="A55" t="s">
        <v>67</v>
      </c>
      <c r="B55" s="37">
        <v>0.04</v>
      </c>
      <c r="E55" t="s">
        <v>67</v>
      </c>
      <c r="F55" s="37">
        <v>0.04</v>
      </c>
      <c r="I55" t="s">
        <v>67</v>
      </c>
      <c r="J55" s="37">
        <v>0.04</v>
      </c>
      <c r="M55" t="s">
        <v>67</v>
      </c>
      <c r="N55" s="37">
        <v>0.04</v>
      </c>
    </row>
    <row r="56" spans="1:41" x14ac:dyDescent="0.25">
      <c r="A56" t="s">
        <v>68</v>
      </c>
      <c r="B56" s="6">
        <f>SUMPRODUCT(B29:B55,C29:C55)</f>
        <v>2.9299999999999997</v>
      </c>
      <c r="D56" s="20"/>
      <c r="E56" t="s">
        <v>68</v>
      </c>
      <c r="F56" s="6">
        <f>SUMPRODUCT(F29:F55,G29:G55)</f>
        <v>0.36</v>
      </c>
      <c r="I56" t="s">
        <v>68</v>
      </c>
      <c r="J56" s="6">
        <f>SUMPRODUCT(J29:J55,K29:K55)</f>
        <v>1.29</v>
      </c>
      <c r="M56" t="s">
        <v>68</v>
      </c>
      <c r="N56" s="40">
        <f>SUMPRODUCT(N29:N55,O29:O55)</f>
        <v>0.65999999999999992</v>
      </c>
    </row>
    <row r="57" spans="1:41" x14ac:dyDescent="0.25">
      <c r="D57" s="20"/>
    </row>
    <row r="58" spans="1:41" x14ac:dyDescent="0.25">
      <c r="D58" s="20"/>
    </row>
    <row r="59" spans="1:41" x14ac:dyDescent="0.25">
      <c r="D59" s="20"/>
    </row>
    <row r="60" spans="1:41" x14ac:dyDescent="0.25">
      <c r="D60" s="20"/>
    </row>
    <row r="61" spans="1:41" x14ac:dyDescent="0.25">
      <c r="D61" s="20"/>
    </row>
    <row r="62" spans="1:41" x14ac:dyDescent="0.25">
      <c r="D62" s="20"/>
    </row>
    <row r="63" spans="1:41" x14ac:dyDescent="0.25">
      <c r="D63" s="20"/>
    </row>
    <row r="64" spans="1:41" x14ac:dyDescent="0.25">
      <c r="D64" s="20"/>
    </row>
    <row r="65" spans="4:4" x14ac:dyDescent="0.25">
      <c r="D65" s="20"/>
    </row>
  </sheetData>
  <sheetProtection algorithmName="SHA-512" hashValue="T9qif6oPxy0vcmbZpTzRERbcNtnxXDV0alYFTwn2feeWT8MoRP8US65Ai4HPwBv2yTYQkQwUbFkBTPTL5cGS8g==" saltValue="9gmVynlwnq0OBINxgVVrQg==" spinCount="100000" sheet="1" objects="1" scenarios="1" selectLockedCells="1" selectUnlockedCells="1"/>
  <customSheetViews>
    <customSheetView guid="{DD12DCA6-AC95-44E9-85FD-88104CF4D155}" scale="60" showPageBreaks="1" view="pageBreakPreview" topLeftCell="F1">
      <selection activeCell="C54" sqref="C54"/>
      <pageMargins left="0.7" right="0.7" top="0.75" bottom="0.75" header="0.3" footer="0.3"/>
      <pageSetup scale="17" orientation="portrait" r:id="rId1"/>
    </customSheetView>
  </customSheetViews>
  <pageMargins left="0.7" right="0.7" top="0.75" bottom="0.75" header="0.3" footer="0.3"/>
  <pageSetup scale="17" orientation="portrait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59"/>
  <sheetViews>
    <sheetView view="pageBreakPreview" topLeftCell="J16" zoomScale="60" zoomScaleNormal="70" workbookViewId="0">
      <selection activeCell="H5" sqref="H5:J5"/>
    </sheetView>
  </sheetViews>
  <sheetFormatPr defaultRowHeight="15" x14ac:dyDescent="0.25"/>
  <cols>
    <col min="1" max="1" width="22.85546875" customWidth="1"/>
    <col min="3" max="3" width="12.42578125" bestFit="1" customWidth="1"/>
    <col min="4" max="4" width="29.85546875" customWidth="1"/>
    <col min="5" max="5" width="27.42578125" customWidth="1"/>
    <col min="6" max="6" width="11.42578125" customWidth="1"/>
    <col min="7" max="7" width="8.42578125" customWidth="1"/>
    <col min="8" max="8" width="29" bestFit="1" customWidth="1"/>
    <col min="9" max="9" width="26.5703125" customWidth="1"/>
    <col min="10" max="10" width="9.42578125" customWidth="1"/>
    <col min="11" max="11" width="10.140625" customWidth="1"/>
    <col min="13" max="13" width="31.42578125" bestFit="1" customWidth="1"/>
    <col min="17" max="17" width="31.42578125" bestFit="1" customWidth="1"/>
    <col min="38" max="38" width="10.85546875" customWidth="1"/>
    <col min="39" max="43" width="11.85546875" customWidth="1"/>
    <col min="44" max="44" width="11.85546875" style="20" customWidth="1"/>
  </cols>
  <sheetData>
    <row r="1" spans="1:48" x14ac:dyDescent="0.25">
      <c r="A1" s="1" t="s">
        <v>15</v>
      </c>
    </row>
    <row r="2" spans="1:48" x14ac:dyDescent="0.25">
      <c r="B2" s="3" t="s">
        <v>86</v>
      </c>
      <c r="C2">
        <v>5176.2299999999996</v>
      </c>
      <c r="D2" t="s">
        <v>87</v>
      </c>
      <c r="H2" t="s">
        <v>97</v>
      </c>
    </row>
    <row r="3" spans="1:48" x14ac:dyDescent="0.25">
      <c r="B3" s="3" t="s">
        <v>81</v>
      </c>
      <c r="C3">
        <v>5180.01</v>
      </c>
      <c r="D3" t="s">
        <v>105</v>
      </c>
      <c r="H3" t="s">
        <v>96</v>
      </c>
      <c r="I3">
        <v>5</v>
      </c>
      <c r="J3" t="s">
        <v>17</v>
      </c>
      <c r="W3" s="38" t="s">
        <v>113</v>
      </c>
    </row>
    <row r="4" spans="1:48" x14ac:dyDescent="0.25">
      <c r="B4" s="3" t="s">
        <v>223</v>
      </c>
      <c r="C4">
        <v>5190.07</v>
      </c>
      <c r="D4" t="s">
        <v>104</v>
      </c>
      <c r="H4" t="s">
        <v>98</v>
      </c>
      <c r="I4">
        <v>10</v>
      </c>
      <c r="J4" t="s">
        <v>17</v>
      </c>
      <c r="W4" s="38" t="s">
        <v>114</v>
      </c>
    </row>
    <row r="5" spans="1:48" x14ac:dyDescent="0.25">
      <c r="B5" s="3" t="s">
        <v>224</v>
      </c>
      <c r="C5">
        <v>5196.32</v>
      </c>
      <c r="H5" t="s">
        <v>99</v>
      </c>
      <c r="I5">
        <v>10.199999999999999</v>
      </c>
      <c r="J5" t="s">
        <v>17</v>
      </c>
      <c r="W5" s="38"/>
    </row>
    <row r="6" spans="1:48" x14ac:dyDescent="0.25">
      <c r="C6" s="13"/>
      <c r="D6" s="108"/>
    </row>
    <row r="7" spans="1:48" ht="30" x14ac:dyDescent="0.25">
      <c r="A7" s="1" t="s">
        <v>16</v>
      </c>
      <c r="U7" s="4" t="s">
        <v>18</v>
      </c>
      <c r="V7" s="4"/>
      <c r="W7" s="12" t="s">
        <v>73</v>
      </c>
      <c r="X7" s="12" t="s">
        <v>72</v>
      </c>
      <c r="Y7" s="12" t="s">
        <v>180</v>
      </c>
      <c r="Z7" s="12" t="s">
        <v>181</v>
      </c>
      <c r="AA7" s="12" t="s">
        <v>182</v>
      </c>
      <c r="AB7" s="12" t="s">
        <v>71</v>
      </c>
      <c r="AC7" s="12" t="s">
        <v>70</v>
      </c>
      <c r="AD7" s="12" t="s">
        <v>183</v>
      </c>
      <c r="AE7" s="12" t="s">
        <v>184</v>
      </c>
      <c r="AF7" s="12" t="s">
        <v>185</v>
      </c>
      <c r="AG7" s="12" t="s">
        <v>74</v>
      </c>
      <c r="AH7" s="12" t="s">
        <v>75</v>
      </c>
      <c r="AI7" s="12" t="s">
        <v>186</v>
      </c>
      <c r="AJ7" s="12" t="s">
        <v>187</v>
      </c>
      <c r="AK7" s="12" t="s">
        <v>188</v>
      </c>
      <c r="AL7" s="12" t="s">
        <v>76</v>
      </c>
      <c r="AM7" s="12" t="s">
        <v>77</v>
      </c>
      <c r="AN7" s="12" t="s">
        <v>189</v>
      </c>
      <c r="AO7" s="12" t="s">
        <v>190</v>
      </c>
      <c r="AP7" s="12" t="s">
        <v>191</v>
      </c>
      <c r="AQ7" s="12" t="s">
        <v>192</v>
      </c>
      <c r="AR7" s="14" t="s">
        <v>193</v>
      </c>
      <c r="AS7" s="12" t="s">
        <v>83</v>
      </c>
      <c r="AT7" s="12" t="s">
        <v>82</v>
      </c>
      <c r="AU7" s="11" t="s">
        <v>84</v>
      </c>
      <c r="AV7" s="14" t="s">
        <v>85</v>
      </c>
    </row>
    <row r="8" spans="1:48" x14ac:dyDescent="0.25">
      <c r="A8" t="s">
        <v>79</v>
      </c>
      <c r="C8" s="13">
        <f>C5-C2+C6</f>
        <v>20.090000000000146</v>
      </c>
      <c r="U8" s="4" t="s">
        <v>8</v>
      </c>
      <c r="V8" s="4" t="s">
        <v>19</v>
      </c>
      <c r="W8" s="4" t="s">
        <v>20</v>
      </c>
      <c r="X8" s="4" t="s">
        <v>20</v>
      </c>
      <c r="Y8" s="4" t="s">
        <v>20</v>
      </c>
      <c r="Z8" s="4" t="s">
        <v>20</v>
      </c>
      <c r="AA8" s="4" t="s">
        <v>20</v>
      </c>
      <c r="AB8" s="4" t="s">
        <v>21</v>
      </c>
      <c r="AC8" s="4" t="s">
        <v>21</v>
      </c>
      <c r="AD8" s="4" t="s">
        <v>21</v>
      </c>
      <c r="AE8" s="4" t="s">
        <v>21</v>
      </c>
      <c r="AF8" s="4" t="s">
        <v>21</v>
      </c>
      <c r="AG8" s="4" t="s">
        <v>17</v>
      </c>
      <c r="AH8" s="4" t="s">
        <v>17</v>
      </c>
      <c r="AI8" s="4" t="s">
        <v>17</v>
      </c>
      <c r="AJ8" s="4" t="s">
        <v>17</v>
      </c>
      <c r="AK8" s="4" t="s">
        <v>17</v>
      </c>
      <c r="AL8" s="4" t="s">
        <v>17</v>
      </c>
      <c r="AM8" s="4" t="s">
        <v>17</v>
      </c>
      <c r="AN8" s="4" t="s">
        <v>17</v>
      </c>
      <c r="AO8" s="4" t="s">
        <v>17</v>
      </c>
      <c r="AP8" s="4" t="s">
        <v>17</v>
      </c>
      <c r="AQ8" s="4" t="s">
        <v>17</v>
      </c>
      <c r="AR8" s="30" t="s">
        <v>17</v>
      </c>
      <c r="AS8" s="4" t="s">
        <v>17</v>
      </c>
      <c r="AT8" s="4" t="s">
        <v>17</v>
      </c>
      <c r="AU8" s="4" t="s">
        <v>17</v>
      </c>
      <c r="AV8" s="4" t="s">
        <v>17</v>
      </c>
    </row>
    <row r="9" spans="1:48" x14ac:dyDescent="0.25">
      <c r="A9" t="s">
        <v>80</v>
      </c>
      <c r="C9" s="13">
        <f>C4-C3+C6</f>
        <v>10.059999999999491</v>
      </c>
      <c r="U9" s="4">
        <v>0</v>
      </c>
      <c r="V9" s="7">
        <f>U9*0.00223</f>
        <v>0</v>
      </c>
      <c r="W9" s="7">
        <f>$C$20^2*PI()/4/144</f>
        <v>2.1816615649929121</v>
      </c>
      <c r="X9" s="7">
        <f>$G$20^2*PI()/4/144</f>
        <v>2.1816615649929121</v>
      </c>
      <c r="Y9" s="7">
        <f>$K$20^2*PI()/4/144</f>
        <v>2.4068856639084975</v>
      </c>
      <c r="Z9" s="7">
        <f>$N$20^2*PI()/4/144</f>
        <v>2.1816615649929121</v>
      </c>
      <c r="AA9" s="7">
        <f>$R$20^2*PI()/4/144</f>
        <v>2.1816615649929121</v>
      </c>
      <c r="AB9" s="8">
        <f>V9/W9</f>
        <v>0</v>
      </c>
      <c r="AC9" s="8">
        <f>V9/X9</f>
        <v>0</v>
      </c>
      <c r="AD9" s="8">
        <f>V9/Y9</f>
        <v>0</v>
      </c>
      <c r="AE9" s="8">
        <f>V9/Z9</f>
        <v>0</v>
      </c>
      <c r="AF9" s="8">
        <f>V9/AA9</f>
        <v>0</v>
      </c>
      <c r="AG9" s="8">
        <f>$B$56*(AB9^2)/(2*32.2)</f>
        <v>0</v>
      </c>
      <c r="AH9" s="8">
        <f>$F$56*(AC9^2)/(2*32.2)</f>
        <v>0</v>
      </c>
      <c r="AI9" s="8">
        <f>$J$56*(AD9^2)/(2*32.2)</f>
        <v>0</v>
      </c>
      <c r="AJ9" s="8">
        <f>$N$56*(AE9^2)/(2*32.2)</f>
        <v>0</v>
      </c>
      <c r="AK9" s="8">
        <f>$R$56*(AF9^2)/(2*32.2)</f>
        <v>0</v>
      </c>
      <c r="AL9" s="8">
        <f>$C$19*($C$20^-4.87)*10.44*(U9/$C$21)^1.85</f>
        <v>0</v>
      </c>
      <c r="AM9" s="8">
        <f>$G$19*($G$20^-4.87)*10.5*(U9/$G$21)^1.85</f>
        <v>0</v>
      </c>
      <c r="AN9" s="8">
        <f>$K$19*($K$20^-4.87)*10.5*(U9/$K$21)^1.85</f>
        <v>0</v>
      </c>
      <c r="AO9" s="8">
        <f>$N$19*($N$20^-4.87)*10.5*(U9/$N$21)^1.85</f>
        <v>0</v>
      </c>
      <c r="AP9" s="8">
        <f>$R$19*($R$20^-4.87)*10.5*(U9/$R$21)^1.85</f>
        <v>0</v>
      </c>
      <c r="AQ9" s="8">
        <f>SUM(AG9:AK9)</f>
        <v>0</v>
      </c>
      <c r="AR9" s="31">
        <f>SUM(AL9:AP9)</f>
        <v>0</v>
      </c>
      <c r="AS9" s="8">
        <f t="shared" ref="AS9:AS54" si="0">$C$8</f>
        <v>20.090000000000146</v>
      </c>
      <c r="AT9" s="8">
        <f t="shared" ref="AT9:AT54" si="1">$C$9</f>
        <v>10.059999999999491</v>
      </c>
      <c r="AU9" s="8">
        <f>AQ9+AR9+AS9</f>
        <v>20.090000000000146</v>
      </c>
      <c r="AV9" s="15">
        <f>AQ9+AR9+AT9</f>
        <v>10.059999999999491</v>
      </c>
    </row>
    <row r="10" spans="1:48" x14ac:dyDescent="0.25">
      <c r="U10" s="4">
        <v>500</v>
      </c>
      <c r="V10" s="7">
        <f t="shared" ref="V10:V16" si="2">U10*0.00223</f>
        <v>1.1150000000000002</v>
      </c>
      <c r="W10" s="7">
        <f t="shared" ref="W10:W54" si="3">$C$20^2*PI()/4/144</f>
        <v>2.1816615649929121</v>
      </c>
      <c r="X10" s="7">
        <f t="shared" ref="X10:X54" si="4">$G$20^2*PI()/4/144</f>
        <v>2.1816615649929121</v>
      </c>
      <c r="Y10" s="7">
        <f t="shared" ref="Y10:Y54" si="5">$K$20^2*PI()/4/144</f>
        <v>2.4068856639084975</v>
      </c>
      <c r="Z10" s="7">
        <f t="shared" ref="Z10:Z54" si="6">$N$20^2*PI()/4/144</f>
        <v>2.1816615649929121</v>
      </c>
      <c r="AA10" s="7">
        <f t="shared" ref="AA10:AA54" si="7">$R$20^2*PI()/4/144</f>
        <v>2.1816615649929121</v>
      </c>
      <c r="AB10" s="8">
        <f t="shared" ref="AB10:AB16" si="8">V10/W10</f>
        <v>0.51107835325669437</v>
      </c>
      <c r="AC10" s="8">
        <f t="shared" ref="AC10:AC16" si="9">V10/X10</f>
        <v>0.51107835325669437</v>
      </c>
      <c r="AD10" s="8">
        <f t="shared" ref="AD10:AD54" si="10">V10/Y10</f>
        <v>0.46325424456987796</v>
      </c>
      <c r="AE10" s="8">
        <f t="shared" ref="AE10:AE54" si="11">V10/Z10</f>
        <v>0.51107835325669437</v>
      </c>
      <c r="AF10" s="8">
        <f t="shared" ref="AF10:AF54" si="12">V10/AA10</f>
        <v>0.51107835325669437</v>
      </c>
      <c r="AG10" s="8">
        <f t="shared" ref="AG10:AG54" si="13">$B$56*(AB10^2)/(2*32.2)</f>
        <v>2.0279587202451436E-4</v>
      </c>
      <c r="AH10" s="8">
        <f t="shared" ref="AH10:AH54" si="14">$F$56*(AC10^2)/(2*32.2)</f>
        <v>1.468242113457484E-2</v>
      </c>
      <c r="AI10" s="8">
        <f t="shared" ref="AI10:AI54" si="15">$J$56*(AD10^2)/(2*32.2)</f>
        <v>2.5325996317566196E-3</v>
      </c>
      <c r="AJ10" s="8">
        <f t="shared" ref="AJ10:AJ54" si="16">$N$56*(AE10^2)/(2*32.2)</f>
        <v>1.2167752321470861E-3</v>
      </c>
      <c r="AK10" s="8">
        <f t="shared" ref="AK10:AK54" si="17">$R$56*(AF10^2)/(2*32.2)</f>
        <v>6.9761779976432936E-3</v>
      </c>
      <c r="AL10" s="8">
        <f t="shared" ref="AL10:AL54" si="18">$C$19*($C$20^-4.87)*10.44*(U10/$C$21)^1.85</f>
        <v>8.0998106911718461E-4</v>
      </c>
      <c r="AM10" s="8">
        <f t="shared" ref="AM10:AM54" si="19">$G$19*($G$20^-4.87)*10.5*(U10/$G$21)^1.85</f>
        <v>5.4309075515520042E-3</v>
      </c>
      <c r="AN10" s="8">
        <f t="shared" ref="AN10:AN54" si="20">$K$19*($K$20^-4.87)*10.5*(U10/$K$21)^1.85</f>
        <v>5.4326381627750719E-2</v>
      </c>
      <c r="AO10" s="8">
        <f t="shared" ref="AO10:AO54" si="21">$N$19*($N$20^-4.87)*10.5*(U10/$N$21)^1.85</f>
        <v>1.0182951659160009E-2</v>
      </c>
      <c r="AP10" s="8">
        <f t="shared" ref="AP10:AP54" si="22">$R$19*($R$20^-4.87)*10.5*(U10/$R$21)^1.85</f>
        <v>3.3943172197200026E-3</v>
      </c>
      <c r="AQ10" s="8">
        <f t="shared" ref="AQ10:AQ54" si="23">SUM(AG10:AK10)</f>
        <v>2.5610769868146355E-2</v>
      </c>
      <c r="AR10" s="31">
        <f t="shared" ref="AR10:AR54" si="24">SUM(AL10:AP10)</f>
        <v>7.4144539127299916E-2</v>
      </c>
      <c r="AS10" s="8">
        <f t="shared" si="0"/>
        <v>20.090000000000146</v>
      </c>
      <c r="AT10" s="8">
        <f t="shared" si="1"/>
        <v>10.059999999999491</v>
      </c>
      <c r="AU10" s="8">
        <f t="shared" ref="AU10:AU54" si="25">AQ10+AR10+AS10</f>
        <v>20.189755308995593</v>
      </c>
      <c r="AV10" s="15">
        <f t="shared" ref="AV10:AV54" si="26">AQ10+AR10+AT10</f>
        <v>10.159755308994937</v>
      </c>
    </row>
    <row r="11" spans="1:48" x14ac:dyDescent="0.25">
      <c r="A11" s="1" t="s">
        <v>22</v>
      </c>
      <c r="U11" s="4">
        <v>1000</v>
      </c>
      <c r="V11" s="7">
        <f t="shared" si="2"/>
        <v>2.2300000000000004</v>
      </c>
      <c r="W11" s="7">
        <f t="shared" si="3"/>
        <v>2.1816615649929121</v>
      </c>
      <c r="X11" s="7">
        <f t="shared" si="4"/>
        <v>2.1816615649929121</v>
      </c>
      <c r="Y11" s="7">
        <f t="shared" si="5"/>
        <v>2.4068856639084975</v>
      </c>
      <c r="Z11" s="7">
        <f t="shared" si="6"/>
        <v>2.1816615649929121</v>
      </c>
      <c r="AA11" s="7">
        <f t="shared" si="7"/>
        <v>2.1816615649929121</v>
      </c>
      <c r="AB11" s="8">
        <f t="shared" si="8"/>
        <v>1.0221567065133887</v>
      </c>
      <c r="AC11" s="8">
        <f t="shared" si="9"/>
        <v>1.0221567065133887</v>
      </c>
      <c r="AD11" s="8">
        <f t="shared" si="10"/>
        <v>0.92650848913975592</v>
      </c>
      <c r="AE11" s="8">
        <f t="shared" si="11"/>
        <v>1.0221567065133887</v>
      </c>
      <c r="AF11" s="8">
        <f t="shared" si="12"/>
        <v>1.0221567065133887</v>
      </c>
      <c r="AG11" s="8">
        <f t="shared" si="13"/>
        <v>8.1118348809805746E-4</v>
      </c>
      <c r="AH11" s="8">
        <f t="shared" si="14"/>
        <v>5.8729684538299361E-2</v>
      </c>
      <c r="AI11" s="8">
        <f t="shared" si="15"/>
        <v>1.0130398527026479E-2</v>
      </c>
      <c r="AJ11" s="8">
        <f t="shared" si="16"/>
        <v>4.8671009285883443E-3</v>
      </c>
      <c r="AK11" s="8">
        <f t="shared" si="17"/>
        <v>2.7904711990573174E-2</v>
      </c>
      <c r="AL11" s="8">
        <f t="shared" si="18"/>
        <v>2.9199832529915089E-3</v>
      </c>
      <c r="AM11" s="8">
        <f t="shared" si="19"/>
        <v>1.9578431772931573E-2</v>
      </c>
      <c r="AN11" s="8">
        <f t="shared" si="20"/>
        <v>0.19584670629593132</v>
      </c>
      <c r="AO11" s="8">
        <f t="shared" si="21"/>
        <v>3.6709559574246702E-2</v>
      </c>
      <c r="AP11" s="8">
        <f t="shared" si="22"/>
        <v>1.2236519858082235E-2</v>
      </c>
      <c r="AQ11" s="8">
        <f t="shared" si="23"/>
        <v>0.10244307947258542</v>
      </c>
      <c r="AR11" s="31">
        <f t="shared" si="24"/>
        <v>0.26729120075418333</v>
      </c>
      <c r="AS11" s="8">
        <f t="shared" si="0"/>
        <v>20.090000000000146</v>
      </c>
      <c r="AT11" s="8">
        <f t="shared" si="1"/>
        <v>10.059999999999491</v>
      </c>
      <c r="AU11" s="8">
        <f t="shared" si="25"/>
        <v>20.459734280226915</v>
      </c>
      <c r="AV11" s="15">
        <f t="shared" si="26"/>
        <v>10.42973428022626</v>
      </c>
    </row>
    <row r="12" spans="1:48" x14ac:dyDescent="0.25">
      <c r="A12" t="s">
        <v>23</v>
      </c>
      <c r="C12" t="s">
        <v>24</v>
      </c>
      <c r="D12" t="s">
        <v>25</v>
      </c>
      <c r="U12" s="4">
        <v>1500</v>
      </c>
      <c r="V12" s="7">
        <f t="shared" si="2"/>
        <v>3.3450000000000002</v>
      </c>
      <c r="W12" s="7">
        <f t="shared" si="3"/>
        <v>2.1816615649929121</v>
      </c>
      <c r="X12" s="7">
        <f t="shared" si="4"/>
        <v>2.1816615649929121</v>
      </c>
      <c r="Y12" s="7">
        <f t="shared" si="5"/>
        <v>2.4068856639084975</v>
      </c>
      <c r="Z12" s="7">
        <f t="shared" si="6"/>
        <v>2.1816615649929121</v>
      </c>
      <c r="AA12" s="7">
        <f t="shared" si="7"/>
        <v>2.1816615649929121</v>
      </c>
      <c r="AB12" s="8">
        <f t="shared" si="8"/>
        <v>1.533235059770083</v>
      </c>
      <c r="AC12" s="8">
        <f t="shared" si="9"/>
        <v>1.533235059770083</v>
      </c>
      <c r="AD12" s="8">
        <f t="shared" si="10"/>
        <v>1.3897627337096337</v>
      </c>
      <c r="AE12" s="8">
        <f t="shared" si="11"/>
        <v>1.533235059770083</v>
      </c>
      <c r="AF12" s="8">
        <f t="shared" si="12"/>
        <v>1.533235059770083</v>
      </c>
      <c r="AG12" s="8">
        <f t="shared" si="13"/>
        <v>1.8251628482206289E-3</v>
      </c>
      <c r="AH12" s="8">
        <f t="shared" si="14"/>
        <v>0.13214179021117353</v>
      </c>
      <c r="AI12" s="8">
        <f t="shared" si="15"/>
        <v>2.2793396685809566E-2</v>
      </c>
      <c r="AJ12" s="8">
        <f t="shared" si="16"/>
        <v>1.0950977089323771E-2</v>
      </c>
      <c r="AK12" s="8">
        <f t="shared" si="17"/>
        <v>6.2785601978789629E-2</v>
      </c>
      <c r="AL12" s="8">
        <f t="shared" si="18"/>
        <v>6.1822873910266397E-3</v>
      </c>
      <c r="AM12" s="8">
        <f t="shared" si="19"/>
        <v>4.1452118522209272E-2</v>
      </c>
      <c r="AN12" s="8">
        <f t="shared" si="20"/>
        <v>0.41465327640732003</v>
      </c>
      <c r="AO12" s="8">
        <f t="shared" si="21"/>
        <v>7.7722722229142394E-2</v>
      </c>
      <c r="AP12" s="8">
        <f t="shared" si="22"/>
        <v>2.5907574076380797E-2</v>
      </c>
      <c r="AQ12" s="8">
        <f t="shared" si="23"/>
        <v>0.23049692881331713</v>
      </c>
      <c r="AR12" s="31">
        <f t="shared" si="24"/>
        <v>0.56591797862607907</v>
      </c>
      <c r="AS12" s="8">
        <f t="shared" si="0"/>
        <v>20.090000000000146</v>
      </c>
      <c r="AT12" s="8">
        <f t="shared" si="1"/>
        <v>10.059999999999491</v>
      </c>
      <c r="AU12" s="8">
        <f t="shared" si="25"/>
        <v>20.886414907439541</v>
      </c>
      <c r="AV12" s="15">
        <f t="shared" si="26"/>
        <v>10.856414907438888</v>
      </c>
    </row>
    <row r="13" spans="1:48" x14ac:dyDescent="0.25">
      <c r="A13" t="s">
        <v>26</v>
      </c>
      <c r="C13" t="s">
        <v>27</v>
      </c>
      <c r="D13" t="s">
        <v>28</v>
      </c>
      <c r="U13" s="4">
        <v>2000</v>
      </c>
      <c r="V13" s="7">
        <f t="shared" si="2"/>
        <v>4.4600000000000009</v>
      </c>
      <c r="W13" s="7">
        <f t="shared" si="3"/>
        <v>2.1816615649929121</v>
      </c>
      <c r="X13" s="7">
        <f t="shared" si="4"/>
        <v>2.1816615649929121</v>
      </c>
      <c r="Y13" s="7">
        <f t="shared" si="5"/>
        <v>2.4068856639084975</v>
      </c>
      <c r="Z13" s="7">
        <f t="shared" si="6"/>
        <v>2.1816615649929121</v>
      </c>
      <c r="AA13" s="7">
        <f t="shared" si="7"/>
        <v>2.1816615649929121</v>
      </c>
      <c r="AB13" s="8">
        <f t="shared" si="8"/>
        <v>2.0443134130267775</v>
      </c>
      <c r="AC13" s="8">
        <f t="shared" si="9"/>
        <v>2.0443134130267775</v>
      </c>
      <c r="AD13" s="8">
        <f t="shared" si="10"/>
        <v>1.8530169782795118</v>
      </c>
      <c r="AE13" s="8">
        <f t="shared" si="11"/>
        <v>2.0443134130267775</v>
      </c>
      <c r="AF13" s="8">
        <f t="shared" si="12"/>
        <v>2.0443134130267775</v>
      </c>
      <c r="AG13" s="8">
        <f t="shared" si="13"/>
        <v>3.2447339523922298E-3</v>
      </c>
      <c r="AH13" s="8">
        <f t="shared" si="14"/>
        <v>0.23491873815319744</v>
      </c>
      <c r="AI13" s="8">
        <f t="shared" si="15"/>
        <v>4.0521594108105914E-2</v>
      </c>
      <c r="AJ13" s="8">
        <f t="shared" si="16"/>
        <v>1.9468403714353377E-2</v>
      </c>
      <c r="AK13" s="8">
        <f t="shared" si="17"/>
        <v>0.1116188479622927</v>
      </c>
      <c r="AL13" s="8">
        <f t="shared" si="18"/>
        <v>1.0526545030297905E-2</v>
      </c>
      <c r="AM13" s="8">
        <f t="shared" si="19"/>
        <v>7.0580282770196678E-2</v>
      </c>
      <c r="AN13" s="8">
        <f t="shared" si="20"/>
        <v>0.70602773860006174</v>
      </c>
      <c r="AO13" s="8">
        <f t="shared" si="21"/>
        <v>0.13233803019411877</v>
      </c>
      <c r="AP13" s="8">
        <f t="shared" si="22"/>
        <v>4.4112676731372924E-2</v>
      </c>
      <c r="AQ13" s="8">
        <f t="shared" si="23"/>
        <v>0.40977231789034169</v>
      </c>
      <c r="AR13" s="31">
        <f t="shared" si="24"/>
        <v>0.96358527332604793</v>
      </c>
      <c r="AS13" s="8">
        <f t="shared" si="0"/>
        <v>20.090000000000146</v>
      </c>
      <c r="AT13" s="8">
        <f t="shared" si="1"/>
        <v>10.059999999999491</v>
      </c>
      <c r="AU13" s="8">
        <f t="shared" si="25"/>
        <v>21.463357591216536</v>
      </c>
      <c r="AV13" s="15">
        <f t="shared" si="26"/>
        <v>11.433357591215881</v>
      </c>
    </row>
    <row r="14" spans="1:48" x14ac:dyDescent="0.25">
      <c r="A14" t="s">
        <v>29</v>
      </c>
      <c r="C14" t="s">
        <v>30</v>
      </c>
      <c r="D14" t="s">
        <v>30</v>
      </c>
      <c r="U14" s="4">
        <v>2500</v>
      </c>
      <c r="V14" s="7">
        <f t="shared" si="2"/>
        <v>5.5750000000000002</v>
      </c>
      <c r="W14" s="7">
        <f t="shared" si="3"/>
        <v>2.1816615649929121</v>
      </c>
      <c r="X14" s="7">
        <f t="shared" si="4"/>
        <v>2.1816615649929121</v>
      </c>
      <c r="Y14" s="7">
        <f t="shared" si="5"/>
        <v>2.4068856639084975</v>
      </c>
      <c r="Z14" s="7">
        <f t="shared" si="6"/>
        <v>2.1816615649929121</v>
      </c>
      <c r="AA14" s="7">
        <f t="shared" si="7"/>
        <v>2.1816615649929121</v>
      </c>
      <c r="AB14" s="8">
        <f t="shared" si="8"/>
        <v>2.5553917662834715</v>
      </c>
      <c r="AC14" s="8">
        <f t="shared" si="9"/>
        <v>2.5553917662834715</v>
      </c>
      <c r="AD14" s="8">
        <f t="shared" si="10"/>
        <v>2.3162712228493896</v>
      </c>
      <c r="AE14" s="8">
        <f t="shared" si="11"/>
        <v>2.5553917662834715</v>
      </c>
      <c r="AF14" s="8">
        <f t="shared" si="12"/>
        <v>2.5553917662834715</v>
      </c>
      <c r="AG14" s="8">
        <f t="shared" si="13"/>
        <v>5.0698968006128572E-3</v>
      </c>
      <c r="AH14" s="8">
        <f t="shared" si="14"/>
        <v>0.36706052836437081</v>
      </c>
      <c r="AI14" s="8">
        <f t="shared" si="15"/>
        <v>6.3314990793915463E-2</v>
      </c>
      <c r="AJ14" s="8">
        <f t="shared" si="16"/>
        <v>3.0419380803677142E-2</v>
      </c>
      <c r="AK14" s="8">
        <f t="shared" si="17"/>
        <v>0.17440444994108228</v>
      </c>
      <c r="AL14" s="8">
        <f t="shared" si="18"/>
        <v>1.5906307599868545E-2</v>
      </c>
      <c r="AM14" s="8">
        <f t="shared" si="19"/>
        <v>0.10665148773858218</v>
      </c>
      <c r="AN14" s="8">
        <f t="shared" si="20"/>
        <v>1.0668547326676245</v>
      </c>
      <c r="AO14" s="8">
        <f t="shared" si="21"/>
        <v>0.19997153950984162</v>
      </c>
      <c r="AP14" s="8">
        <f t="shared" si="22"/>
        <v>6.6657179836613872E-2</v>
      </c>
      <c r="AQ14" s="8">
        <f t="shared" si="23"/>
        <v>0.64026924670365859</v>
      </c>
      <c r="AR14" s="31">
        <f t="shared" si="24"/>
        <v>1.4560412473525306</v>
      </c>
      <c r="AS14" s="8">
        <f t="shared" si="0"/>
        <v>20.090000000000146</v>
      </c>
      <c r="AT14" s="8">
        <f t="shared" si="1"/>
        <v>10.059999999999491</v>
      </c>
      <c r="AU14" s="8">
        <f t="shared" si="25"/>
        <v>22.186310494056336</v>
      </c>
      <c r="AV14" s="15">
        <f t="shared" si="26"/>
        <v>12.156310494055679</v>
      </c>
    </row>
    <row r="15" spans="1:48" x14ac:dyDescent="0.25">
      <c r="A15" t="s">
        <v>31</v>
      </c>
      <c r="C15" t="s">
        <v>32</v>
      </c>
      <c r="D15" t="s">
        <v>33</v>
      </c>
      <c r="U15" s="4">
        <v>3000</v>
      </c>
      <c r="V15" s="7">
        <f t="shared" si="2"/>
        <v>6.69</v>
      </c>
      <c r="W15" s="7">
        <f t="shared" si="3"/>
        <v>2.1816615649929121</v>
      </c>
      <c r="X15" s="7">
        <f t="shared" si="4"/>
        <v>2.1816615649929121</v>
      </c>
      <c r="Y15" s="7">
        <f t="shared" si="5"/>
        <v>2.4068856639084975</v>
      </c>
      <c r="Z15" s="7">
        <f t="shared" si="6"/>
        <v>2.1816615649929121</v>
      </c>
      <c r="AA15" s="7">
        <f t="shared" si="7"/>
        <v>2.1816615649929121</v>
      </c>
      <c r="AB15" s="8">
        <f t="shared" si="8"/>
        <v>3.066470119540166</v>
      </c>
      <c r="AC15" s="8">
        <f t="shared" si="9"/>
        <v>3.066470119540166</v>
      </c>
      <c r="AD15" s="8">
        <f t="shared" si="10"/>
        <v>2.7795254674192673</v>
      </c>
      <c r="AE15" s="8">
        <f t="shared" si="11"/>
        <v>3.066470119540166</v>
      </c>
      <c r="AF15" s="8">
        <f t="shared" si="12"/>
        <v>3.066470119540166</v>
      </c>
      <c r="AG15" s="8">
        <f t="shared" si="13"/>
        <v>7.3006513928825156E-3</v>
      </c>
      <c r="AH15" s="8">
        <f t="shared" si="14"/>
        <v>0.52856716084469413</v>
      </c>
      <c r="AI15" s="8">
        <f t="shared" si="15"/>
        <v>9.1173586743238264E-2</v>
      </c>
      <c r="AJ15" s="8">
        <f t="shared" si="16"/>
        <v>4.3803908357295085E-2</v>
      </c>
      <c r="AK15" s="8">
        <f t="shared" si="17"/>
        <v>0.25114240791515852</v>
      </c>
      <c r="AL15" s="8">
        <f t="shared" si="18"/>
        <v>2.228715748462344E-2</v>
      </c>
      <c r="AM15" s="8">
        <f t="shared" si="19"/>
        <v>0.14943496397736022</v>
      </c>
      <c r="AN15" s="8">
        <f t="shared" si="20"/>
        <v>1.4948258287407754</v>
      </c>
      <c r="AO15" s="8">
        <f t="shared" si="21"/>
        <v>0.28019055745755045</v>
      </c>
      <c r="AP15" s="8">
        <f t="shared" si="22"/>
        <v>9.3396852485850154E-2</v>
      </c>
      <c r="AQ15" s="8">
        <f t="shared" si="23"/>
        <v>0.9219877152532685</v>
      </c>
      <c r="AR15" s="31">
        <f t="shared" si="24"/>
        <v>2.0401353601461598</v>
      </c>
      <c r="AS15" s="8">
        <f t="shared" si="0"/>
        <v>20.090000000000146</v>
      </c>
      <c r="AT15" s="8">
        <f t="shared" si="1"/>
        <v>10.059999999999491</v>
      </c>
      <c r="AU15" s="8">
        <f t="shared" si="25"/>
        <v>23.052123075399575</v>
      </c>
      <c r="AV15" s="15">
        <f t="shared" si="26"/>
        <v>13.02212307539892</v>
      </c>
    </row>
    <row r="16" spans="1:48" x14ac:dyDescent="0.25">
      <c r="U16" s="4">
        <v>3500</v>
      </c>
      <c r="V16" s="7">
        <f t="shared" si="2"/>
        <v>7.8050000000000006</v>
      </c>
      <c r="W16" s="7">
        <f t="shared" si="3"/>
        <v>2.1816615649929121</v>
      </c>
      <c r="X16" s="7">
        <f t="shared" si="4"/>
        <v>2.1816615649929121</v>
      </c>
      <c r="Y16" s="7">
        <f t="shared" si="5"/>
        <v>2.4068856639084975</v>
      </c>
      <c r="Z16" s="7">
        <f t="shared" si="6"/>
        <v>2.1816615649929121</v>
      </c>
      <c r="AA16" s="7">
        <f t="shared" si="7"/>
        <v>2.1816615649929121</v>
      </c>
      <c r="AB16" s="8">
        <f t="shared" si="8"/>
        <v>3.5775484727968601</v>
      </c>
      <c r="AC16" s="8">
        <f t="shared" si="9"/>
        <v>3.5775484727968601</v>
      </c>
      <c r="AD16" s="8">
        <f t="shared" si="10"/>
        <v>3.2427797119891455</v>
      </c>
      <c r="AE16" s="8">
        <f t="shared" si="11"/>
        <v>3.5775484727968601</v>
      </c>
      <c r="AF16" s="8">
        <f t="shared" si="12"/>
        <v>3.5775484727968601</v>
      </c>
      <c r="AG16" s="8">
        <f t="shared" si="13"/>
        <v>9.9369977292011989E-3</v>
      </c>
      <c r="AH16" s="8">
        <f t="shared" si="14"/>
        <v>0.71943863559416688</v>
      </c>
      <c r="AI16" s="8">
        <f t="shared" si="15"/>
        <v>0.12409738195607435</v>
      </c>
      <c r="AJ16" s="8">
        <f t="shared" si="16"/>
        <v>5.9621986375207194E-2</v>
      </c>
      <c r="AK16" s="8">
        <f t="shared" si="17"/>
        <v>0.34183272188452124</v>
      </c>
      <c r="AL16" s="8">
        <f t="shared" si="18"/>
        <v>2.9641913984037569E-2</v>
      </c>
      <c r="AM16" s="8">
        <f t="shared" si="19"/>
        <v>0.1987484654102136</v>
      </c>
      <c r="AN16" s="8">
        <f t="shared" si="20"/>
        <v>1.9881179853115909</v>
      </c>
      <c r="AO16" s="8">
        <f t="shared" si="21"/>
        <v>0.37265337264415055</v>
      </c>
      <c r="AP16" s="8">
        <f t="shared" si="22"/>
        <v>0.1242177908813835</v>
      </c>
      <c r="AQ16" s="8">
        <f t="shared" si="23"/>
        <v>1.2549277235391709</v>
      </c>
      <c r="AR16" s="31">
        <f t="shared" si="24"/>
        <v>2.7133795282313757</v>
      </c>
      <c r="AS16" s="8">
        <f t="shared" si="0"/>
        <v>20.090000000000146</v>
      </c>
      <c r="AT16" s="8">
        <f t="shared" si="1"/>
        <v>10.059999999999491</v>
      </c>
      <c r="AU16" s="8">
        <f t="shared" si="25"/>
        <v>24.058307251770692</v>
      </c>
      <c r="AV16" s="15">
        <f t="shared" si="26"/>
        <v>14.028307251770038</v>
      </c>
    </row>
    <row r="17" spans="1:48" x14ac:dyDescent="0.25">
      <c r="A17" s="1" t="s">
        <v>119</v>
      </c>
      <c r="E17" s="1" t="s">
        <v>179</v>
      </c>
      <c r="I17" s="1" t="s">
        <v>118</v>
      </c>
      <c r="M17" s="1" t="s">
        <v>225</v>
      </c>
      <c r="Q17" s="1" t="s">
        <v>117</v>
      </c>
      <c r="U17" s="4">
        <v>4000</v>
      </c>
      <c r="V17" s="7">
        <f t="shared" ref="V17:V25" si="27">U17*0.00223</f>
        <v>8.9200000000000017</v>
      </c>
      <c r="W17" s="7">
        <f t="shared" si="3"/>
        <v>2.1816615649929121</v>
      </c>
      <c r="X17" s="7">
        <f t="shared" si="4"/>
        <v>2.1816615649929121</v>
      </c>
      <c r="Y17" s="7">
        <f t="shared" si="5"/>
        <v>2.4068856639084975</v>
      </c>
      <c r="Z17" s="7">
        <f t="shared" si="6"/>
        <v>2.1816615649929121</v>
      </c>
      <c r="AA17" s="7">
        <f t="shared" si="7"/>
        <v>2.1816615649929121</v>
      </c>
      <c r="AB17" s="8">
        <f t="shared" ref="AB17:AB25" si="28">V17/W17</f>
        <v>4.088626826053555</v>
      </c>
      <c r="AC17" s="8">
        <f t="shared" ref="AC17:AC36" si="29">V17/X17</f>
        <v>4.088626826053555</v>
      </c>
      <c r="AD17" s="8">
        <f t="shared" si="10"/>
        <v>3.7060339565590237</v>
      </c>
      <c r="AE17" s="8">
        <f t="shared" si="11"/>
        <v>4.088626826053555</v>
      </c>
      <c r="AF17" s="8">
        <f t="shared" si="12"/>
        <v>4.088626826053555</v>
      </c>
      <c r="AG17" s="8">
        <f t="shared" si="13"/>
        <v>1.2978935809568919E-2</v>
      </c>
      <c r="AH17" s="8">
        <f t="shared" si="14"/>
        <v>0.93967495261278977</v>
      </c>
      <c r="AI17" s="8">
        <f t="shared" si="15"/>
        <v>0.16208637643242366</v>
      </c>
      <c r="AJ17" s="8">
        <f t="shared" si="16"/>
        <v>7.7873614857413509E-2</v>
      </c>
      <c r="AK17" s="8">
        <f t="shared" si="17"/>
        <v>0.44647539184917079</v>
      </c>
      <c r="AL17" s="8">
        <f t="shared" si="18"/>
        <v>3.7948214312998878E-2</v>
      </c>
      <c r="AM17" s="8">
        <f t="shared" si="19"/>
        <v>0.25444204999137182</v>
      </c>
      <c r="AN17" s="8">
        <f t="shared" si="20"/>
        <v>2.5452313041175372</v>
      </c>
      <c r="AO17" s="8">
        <f t="shared" si="21"/>
        <v>0.47707884373382214</v>
      </c>
      <c r="AP17" s="8">
        <f t="shared" si="22"/>
        <v>0.15902628124460738</v>
      </c>
      <c r="AQ17" s="8">
        <f t="shared" si="23"/>
        <v>1.6390892715613667</v>
      </c>
      <c r="AR17" s="31">
        <f t="shared" si="24"/>
        <v>3.4737266934003372</v>
      </c>
      <c r="AS17" s="8">
        <f t="shared" si="0"/>
        <v>20.090000000000146</v>
      </c>
      <c r="AT17" s="8">
        <f t="shared" si="1"/>
        <v>10.059999999999491</v>
      </c>
      <c r="AU17" s="8">
        <f t="shared" si="25"/>
        <v>25.20281596496185</v>
      </c>
      <c r="AV17" s="15">
        <f t="shared" si="26"/>
        <v>15.172815964961195</v>
      </c>
    </row>
    <row r="18" spans="1:48" x14ac:dyDescent="0.25">
      <c r="A18" s="5" t="s">
        <v>34</v>
      </c>
      <c r="E18" s="5" t="s">
        <v>34</v>
      </c>
      <c r="I18" s="5" t="s">
        <v>34</v>
      </c>
      <c r="M18" s="5" t="s">
        <v>34</v>
      </c>
      <c r="Q18" s="5" t="s">
        <v>34</v>
      </c>
      <c r="U18" s="4">
        <v>4500</v>
      </c>
      <c r="V18" s="7">
        <f t="shared" si="27"/>
        <v>10.035</v>
      </c>
      <c r="W18" s="7">
        <f t="shared" si="3"/>
        <v>2.1816615649929121</v>
      </c>
      <c r="X18" s="7">
        <f t="shared" si="4"/>
        <v>2.1816615649929121</v>
      </c>
      <c r="Y18" s="7">
        <f t="shared" si="5"/>
        <v>2.4068856639084975</v>
      </c>
      <c r="Z18" s="7">
        <f t="shared" si="6"/>
        <v>2.1816615649929121</v>
      </c>
      <c r="AA18" s="7">
        <f t="shared" si="7"/>
        <v>2.1816615649929121</v>
      </c>
      <c r="AB18" s="8">
        <f t="shared" si="28"/>
        <v>4.5997051793102486</v>
      </c>
      <c r="AC18" s="8">
        <f t="shared" si="29"/>
        <v>4.5997051793102486</v>
      </c>
      <c r="AD18" s="8">
        <f t="shared" si="10"/>
        <v>4.169288201128901</v>
      </c>
      <c r="AE18" s="8">
        <f t="shared" si="11"/>
        <v>4.5997051793102486</v>
      </c>
      <c r="AF18" s="8">
        <f t="shared" si="12"/>
        <v>4.5997051793102486</v>
      </c>
      <c r="AG18" s="8">
        <f t="shared" si="13"/>
        <v>1.6426465633985657E-2</v>
      </c>
      <c r="AH18" s="8">
        <f t="shared" si="14"/>
        <v>1.1892761119005615</v>
      </c>
      <c r="AI18" s="8">
        <f t="shared" si="15"/>
        <v>0.2051405701722861</v>
      </c>
      <c r="AJ18" s="8">
        <f t="shared" si="16"/>
        <v>9.8558793803913927E-2</v>
      </c>
      <c r="AK18" s="8">
        <f t="shared" si="17"/>
        <v>0.56507041780910661</v>
      </c>
      <c r="AL18" s="8">
        <f t="shared" si="18"/>
        <v>4.7187124295268439E-2</v>
      </c>
      <c r="AM18" s="8">
        <f t="shared" si="19"/>
        <v>0.31638876443187652</v>
      </c>
      <c r="AN18" s="8">
        <f t="shared" si="20"/>
        <v>3.164895847720095</v>
      </c>
      <c r="AO18" s="8">
        <f t="shared" si="21"/>
        <v>0.59322893330976856</v>
      </c>
      <c r="AP18" s="8">
        <f t="shared" si="22"/>
        <v>0.19774297776992283</v>
      </c>
      <c r="AQ18" s="8">
        <f t="shared" si="23"/>
        <v>2.074472359319854</v>
      </c>
      <c r="AR18" s="31">
        <f t="shared" si="24"/>
        <v>4.3194436475269313</v>
      </c>
      <c r="AS18" s="8">
        <f t="shared" si="0"/>
        <v>20.090000000000146</v>
      </c>
      <c r="AT18" s="8">
        <f t="shared" si="1"/>
        <v>10.059999999999491</v>
      </c>
      <c r="AU18" s="8">
        <f t="shared" si="25"/>
        <v>26.483916006846933</v>
      </c>
      <c r="AV18" s="15">
        <f t="shared" si="26"/>
        <v>16.453916006846278</v>
      </c>
    </row>
    <row r="19" spans="1:48" x14ac:dyDescent="0.25">
      <c r="A19" t="s">
        <v>35</v>
      </c>
      <c r="C19" s="6">
        <v>12</v>
      </c>
      <c r="E19" t="s">
        <v>35</v>
      </c>
      <c r="G19" s="6">
        <v>80</v>
      </c>
      <c r="I19" t="s">
        <v>35</v>
      </c>
      <c r="K19" s="6">
        <v>1352</v>
      </c>
      <c r="L19" t="s">
        <v>17</v>
      </c>
      <c r="M19" t="s">
        <v>35</v>
      </c>
      <c r="N19" s="6">
        <v>150</v>
      </c>
      <c r="O19" t="s">
        <v>17</v>
      </c>
      <c r="Q19" t="s">
        <v>35</v>
      </c>
      <c r="R19" s="6">
        <v>50</v>
      </c>
      <c r="S19" t="s">
        <v>17</v>
      </c>
      <c r="U19" s="4">
        <v>5000</v>
      </c>
      <c r="V19" s="9">
        <f t="shared" si="27"/>
        <v>11.15</v>
      </c>
      <c r="W19" s="7">
        <f t="shared" si="3"/>
        <v>2.1816615649929121</v>
      </c>
      <c r="X19" s="7">
        <f t="shared" si="4"/>
        <v>2.1816615649929121</v>
      </c>
      <c r="Y19" s="7">
        <f t="shared" si="5"/>
        <v>2.4068856639084975</v>
      </c>
      <c r="Z19" s="7">
        <f t="shared" si="6"/>
        <v>2.1816615649929121</v>
      </c>
      <c r="AA19" s="7">
        <f t="shared" si="7"/>
        <v>2.1816615649929121</v>
      </c>
      <c r="AB19" s="10">
        <f t="shared" si="28"/>
        <v>5.1107835325669431</v>
      </c>
      <c r="AC19" s="10">
        <f t="shared" si="29"/>
        <v>5.1107835325669431</v>
      </c>
      <c r="AD19" s="8">
        <f t="shared" si="10"/>
        <v>4.6325424456987792</v>
      </c>
      <c r="AE19" s="8">
        <f t="shared" si="11"/>
        <v>5.1107835325669431</v>
      </c>
      <c r="AF19" s="8">
        <f t="shared" si="12"/>
        <v>5.1107835325669431</v>
      </c>
      <c r="AG19" s="8">
        <f t="shared" si="13"/>
        <v>2.0279587202451429E-2</v>
      </c>
      <c r="AH19" s="8">
        <f t="shared" si="14"/>
        <v>1.4682421134574832</v>
      </c>
      <c r="AI19" s="8">
        <f t="shared" si="15"/>
        <v>0.25325996317566185</v>
      </c>
      <c r="AJ19" s="8">
        <f t="shared" si="16"/>
        <v>0.12167752321470857</v>
      </c>
      <c r="AK19" s="8">
        <f t="shared" si="17"/>
        <v>0.69761779976432914</v>
      </c>
      <c r="AL19" s="8">
        <f t="shared" si="18"/>
        <v>5.7342268331246796E-2</v>
      </c>
      <c r="AM19" s="8">
        <f t="shared" si="19"/>
        <v>0.38447881065012218</v>
      </c>
      <c r="AN19" s="8">
        <f t="shared" si="20"/>
        <v>3.8460132854210003</v>
      </c>
      <c r="AO19" s="8">
        <f t="shared" si="21"/>
        <v>0.72089776996897914</v>
      </c>
      <c r="AP19" s="8">
        <f t="shared" si="22"/>
        <v>0.24029925665632637</v>
      </c>
      <c r="AQ19" s="8">
        <f t="shared" si="23"/>
        <v>2.5610769868146344</v>
      </c>
      <c r="AR19" s="31">
        <f t="shared" si="24"/>
        <v>5.2490313910276747</v>
      </c>
      <c r="AS19" s="10">
        <f t="shared" si="0"/>
        <v>20.090000000000146</v>
      </c>
      <c r="AT19" s="8">
        <f t="shared" si="1"/>
        <v>10.059999999999491</v>
      </c>
      <c r="AU19" s="8">
        <f t="shared" si="25"/>
        <v>27.900108377842454</v>
      </c>
      <c r="AV19" s="15">
        <f t="shared" si="26"/>
        <v>17.870108377841799</v>
      </c>
    </row>
    <row r="20" spans="1:48" x14ac:dyDescent="0.25">
      <c r="A20" t="s">
        <v>36</v>
      </c>
      <c r="C20" s="6">
        <v>20</v>
      </c>
      <c r="E20" t="s">
        <v>36</v>
      </c>
      <c r="G20" s="6">
        <v>20</v>
      </c>
      <c r="I20" t="s">
        <v>36</v>
      </c>
      <c r="K20" s="6">
        <v>21.007000000000001</v>
      </c>
      <c r="L20" t="s">
        <v>37</v>
      </c>
      <c r="M20" t="s">
        <v>36</v>
      </c>
      <c r="N20" s="6">
        <v>20</v>
      </c>
      <c r="O20" t="s">
        <v>37</v>
      </c>
      <c r="Q20" t="s">
        <v>36</v>
      </c>
      <c r="R20" s="6">
        <v>20</v>
      </c>
      <c r="S20" t="s">
        <v>37</v>
      </c>
      <c r="U20" s="4">
        <v>5500</v>
      </c>
      <c r="V20" s="7">
        <f t="shared" si="27"/>
        <v>12.265000000000001</v>
      </c>
      <c r="W20" s="7">
        <f t="shared" si="3"/>
        <v>2.1816615649929121</v>
      </c>
      <c r="X20" s="7">
        <f t="shared" si="4"/>
        <v>2.1816615649929121</v>
      </c>
      <c r="Y20" s="7">
        <f t="shared" si="5"/>
        <v>2.4068856639084975</v>
      </c>
      <c r="Z20" s="7">
        <f t="shared" si="6"/>
        <v>2.1816615649929121</v>
      </c>
      <c r="AA20" s="7">
        <f t="shared" si="7"/>
        <v>2.1816615649929121</v>
      </c>
      <c r="AB20" s="8">
        <f t="shared" si="28"/>
        <v>5.6218618858236376</v>
      </c>
      <c r="AC20" s="8">
        <f t="shared" si="29"/>
        <v>5.6218618858236376</v>
      </c>
      <c r="AD20" s="8">
        <f t="shared" si="10"/>
        <v>5.0957966902686573</v>
      </c>
      <c r="AE20" s="8">
        <f t="shared" si="11"/>
        <v>5.6218618858236376</v>
      </c>
      <c r="AF20" s="8">
        <f t="shared" si="12"/>
        <v>5.6218618858236376</v>
      </c>
      <c r="AG20" s="8">
        <f t="shared" si="13"/>
        <v>2.4538300514966232E-2</v>
      </c>
      <c r="AH20" s="8">
        <f t="shared" si="14"/>
        <v>1.7765729572835549</v>
      </c>
      <c r="AI20" s="8">
        <f t="shared" si="15"/>
        <v>0.30644455544255095</v>
      </c>
      <c r="AJ20" s="8">
        <f t="shared" si="16"/>
        <v>0.14722980308979736</v>
      </c>
      <c r="AK20" s="8">
        <f t="shared" si="17"/>
        <v>0.84411753771483822</v>
      </c>
      <c r="AL20" s="8">
        <f t="shared" si="18"/>
        <v>6.8399249450879981E-2</v>
      </c>
      <c r="AM20" s="8">
        <f t="shared" si="19"/>
        <v>0.45861565723770098</v>
      </c>
      <c r="AN20" s="8">
        <f t="shared" si="20"/>
        <v>4.5876179955295013</v>
      </c>
      <c r="AO20" s="8">
        <f t="shared" si="21"/>
        <v>0.85990435732068948</v>
      </c>
      <c r="AP20" s="8">
        <f t="shared" si="22"/>
        <v>0.28663478577356316</v>
      </c>
      <c r="AQ20" s="8">
        <f t="shared" si="23"/>
        <v>3.0989031540457073</v>
      </c>
      <c r="AR20" s="31">
        <f t="shared" si="24"/>
        <v>6.2611720453123345</v>
      </c>
      <c r="AS20" s="8">
        <f t="shared" si="0"/>
        <v>20.090000000000146</v>
      </c>
      <c r="AT20" s="8">
        <f t="shared" si="1"/>
        <v>10.059999999999491</v>
      </c>
      <c r="AU20" s="8">
        <f t="shared" si="25"/>
        <v>29.450075199358189</v>
      </c>
      <c r="AV20" s="15">
        <f t="shared" si="26"/>
        <v>19.420075199357534</v>
      </c>
    </row>
    <row r="21" spans="1:48" x14ac:dyDescent="0.25">
      <c r="A21" t="s">
        <v>38</v>
      </c>
      <c r="C21" s="40">
        <v>120</v>
      </c>
      <c r="E21" t="s">
        <v>38</v>
      </c>
      <c r="G21" s="40">
        <v>120</v>
      </c>
      <c r="I21" t="s">
        <v>38</v>
      </c>
      <c r="K21" s="40">
        <v>140</v>
      </c>
      <c r="M21" t="s">
        <v>38</v>
      </c>
      <c r="N21" s="40">
        <v>120</v>
      </c>
      <c r="Q21" t="s">
        <v>38</v>
      </c>
      <c r="R21" s="40">
        <v>120</v>
      </c>
      <c r="U21" s="4">
        <v>6000</v>
      </c>
      <c r="V21" s="7">
        <f t="shared" si="27"/>
        <v>13.38</v>
      </c>
      <c r="W21" s="7">
        <f t="shared" si="3"/>
        <v>2.1816615649929121</v>
      </c>
      <c r="X21" s="7">
        <f t="shared" si="4"/>
        <v>2.1816615649929121</v>
      </c>
      <c r="Y21" s="7">
        <f t="shared" si="5"/>
        <v>2.4068856639084975</v>
      </c>
      <c r="Z21" s="7">
        <f t="shared" si="6"/>
        <v>2.1816615649929121</v>
      </c>
      <c r="AA21" s="7">
        <f t="shared" si="7"/>
        <v>2.1816615649929121</v>
      </c>
      <c r="AB21" s="8">
        <f t="shared" si="28"/>
        <v>6.132940239080332</v>
      </c>
      <c r="AC21" s="8">
        <f t="shared" si="29"/>
        <v>6.132940239080332</v>
      </c>
      <c r="AD21" s="8">
        <f t="shared" si="10"/>
        <v>5.5590509348385346</v>
      </c>
      <c r="AE21" s="8">
        <f t="shared" si="11"/>
        <v>6.132940239080332</v>
      </c>
      <c r="AF21" s="8">
        <f t="shared" si="12"/>
        <v>6.132940239080332</v>
      </c>
      <c r="AG21" s="8">
        <f t="shared" si="13"/>
        <v>2.9202605571530062E-2</v>
      </c>
      <c r="AH21" s="8">
        <f t="shared" si="14"/>
        <v>2.1142686433787765</v>
      </c>
      <c r="AI21" s="8">
        <f t="shared" si="15"/>
        <v>0.36469434697295305</v>
      </c>
      <c r="AJ21" s="8">
        <f t="shared" si="16"/>
        <v>0.17521563342918034</v>
      </c>
      <c r="AK21" s="8">
        <f t="shared" si="17"/>
        <v>1.0045696316606341</v>
      </c>
      <c r="AL21" s="8">
        <f t="shared" si="18"/>
        <v>8.0345243973189262E-2</v>
      </c>
      <c r="AM21" s="8">
        <f t="shared" si="19"/>
        <v>0.53871332165931496</v>
      </c>
      <c r="AN21" s="8">
        <f t="shared" si="20"/>
        <v>5.3888498787009596</v>
      </c>
      <c r="AO21" s="8">
        <f t="shared" si="21"/>
        <v>1.0100874781112157</v>
      </c>
      <c r="AP21" s="8">
        <f t="shared" si="22"/>
        <v>0.33669582603707188</v>
      </c>
      <c r="AQ21" s="8">
        <f t="shared" si="23"/>
        <v>3.687950861013074</v>
      </c>
      <c r="AR21" s="31">
        <f t="shared" si="24"/>
        <v>7.354691748481752</v>
      </c>
      <c r="AS21" s="8">
        <f t="shared" si="0"/>
        <v>20.090000000000146</v>
      </c>
      <c r="AT21" s="8">
        <f t="shared" si="1"/>
        <v>10.059999999999491</v>
      </c>
      <c r="AU21" s="8">
        <f t="shared" si="25"/>
        <v>31.132642609494972</v>
      </c>
      <c r="AV21" s="15">
        <f t="shared" si="26"/>
        <v>21.102642609494318</v>
      </c>
    </row>
    <row r="22" spans="1:48" x14ac:dyDescent="0.25"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U22" s="4">
        <v>6500</v>
      </c>
      <c r="V22" s="7">
        <f t="shared" si="27"/>
        <v>14.495000000000001</v>
      </c>
      <c r="W22" s="7">
        <f t="shared" si="3"/>
        <v>2.1816615649929121</v>
      </c>
      <c r="X22" s="7">
        <f t="shared" si="4"/>
        <v>2.1816615649929121</v>
      </c>
      <c r="Y22" s="7">
        <f t="shared" si="5"/>
        <v>2.4068856639084975</v>
      </c>
      <c r="Z22" s="7">
        <f t="shared" si="6"/>
        <v>2.1816615649929121</v>
      </c>
      <c r="AA22" s="7">
        <f t="shared" si="7"/>
        <v>2.1816615649929121</v>
      </c>
      <c r="AB22" s="8">
        <f t="shared" si="28"/>
        <v>6.6440185923370256</v>
      </c>
      <c r="AC22" s="8">
        <f t="shared" si="29"/>
        <v>6.6440185923370256</v>
      </c>
      <c r="AD22" s="8">
        <f t="shared" si="10"/>
        <v>6.0223051794084128</v>
      </c>
      <c r="AE22" s="8">
        <f t="shared" si="11"/>
        <v>6.6440185923370256</v>
      </c>
      <c r="AF22" s="8">
        <f t="shared" si="12"/>
        <v>6.6440185923370256</v>
      </c>
      <c r="AG22" s="8">
        <f t="shared" si="13"/>
        <v>3.427250237214291E-2</v>
      </c>
      <c r="AH22" s="8">
        <f t="shared" si="14"/>
        <v>2.4813291717431469</v>
      </c>
      <c r="AI22" s="8">
        <f t="shared" si="15"/>
        <v>0.42800933776686861</v>
      </c>
      <c r="AJ22" s="8">
        <f t="shared" si="16"/>
        <v>0.20563501423285746</v>
      </c>
      <c r="AK22" s="8">
        <f t="shared" si="17"/>
        <v>1.1789740816017162</v>
      </c>
      <c r="AL22" s="8">
        <f t="shared" si="18"/>
        <v>9.3168707442220791E-2</v>
      </c>
      <c r="AM22" s="8">
        <f t="shared" si="19"/>
        <v>0.62469439855895159</v>
      </c>
      <c r="AN22" s="8">
        <f t="shared" si="20"/>
        <v>6.2489346347155985</v>
      </c>
      <c r="AO22" s="8">
        <f t="shared" si="21"/>
        <v>1.1713019972980343</v>
      </c>
      <c r="AP22" s="8">
        <f t="shared" si="22"/>
        <v>0.39043399909934479</v>
      </c>
      <c r="AQ22" s="8">
        <f t="shared" si="23"/>
        <v>4.3282201077167324</v>
      </c>
      <c r="AR22" s="31">
        <f t="shared" si="24"/>
        <v>8.5285337371141505</v>
      </c>
      <c r="AS22" s="8">
        <f t="shared" si="0"/>
        <v>20.090000000000146</v>
      </c>
      <c r="AT22" s="8">
        <f t="shared" si="1"/>
        <v>10.059999999999491</v>
      </c>
      <c r="AU22" s="8">
        <f t="shared" si="25"/>
        <v>32.946753844831029</v>
      </c>
      <c r="AV22" s="15">
        <f t="shared" si="26"/>
        <v>22.916753844830374</v>
      </c>
    </row>
    <row r="23" spans="1:48" x14ac:dyDescent="0.25"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U23" s="4">
        <v>7000</v>
      </c>
      <c r="V23" s="7">
        <f t="shared" si="27"/>
        <v>15.610000000000001</v>
      </c>
      <c r="W23" s="7">
        <f t="shared" si="3"/>
        <v>2.1816615649929121</v>
      </c>
      <c r="X23" s="7">
        <f t="shared" si="4"/>
        <v>2.1816615649929121</v>
      </c>
      <c r="Y23" s="7">
        <f t="shared" si="5"/>
        <v>2.4068856639084975</v>
      </c>
      <c r="Z23" s="7">
        <f t="shared" si="6"/>
        <v>2.1816615649929121</v>
      </c>
      <c r="AA23" s="7">
        <f t="shared" si="7"/>
        <v>2.1816615649929121</v>
      </c>
      <c r="AB23" s="8">
        <f t="shared" si="28"/>
        <v>7.1550969455937201</v>
      </c>
      <c r="AC23" s="8">
        <f t="shared" si="29"/>
        <v>7.1550969455937201</v>
      </c>
      <c r="AD23" s="8">
        <f t="shared" si="10"/>
        <v>6.485559423978291</v>
      </c>
      <c r="AE23" s="8">
        <f t="shared" si="11"/>
        <v>7.1550969455937201</v>
      </c>
      <c r="AF23" s="8">
        <f t="shared" si="12"/>
        <v>7.1550969455937201</v>
      </c>
      <c r="AG23" s="8">
        <f t="shared" si="13"/>
        <v>3.9747990916804796E-2</v>
      </c>
      <c r="AH23" s="8">
        <f t="shared" si="14"/>
        <v>2.8777545423766675</v>
      </c>
      <c r="AI23" s="8">
        <f t="shared" si="15"/>
        <v>0.49638952782429741</v>
      </c>
      <c r="AJ23" s="8">
        <f t="shared" si="16"/>
        <v>0.23848794550082877</v>
      </c>
      <c r="AK23" s="8">
        <f t="shared" si="17"/>
        <v>1.367330887538085</v>
      </c>
      <c r="AL23" s="8">
        <f t="shared" si="18"/>
        <v>0.10685915476313726</v>
      </c>
      <c r="AM23" s="8">
        <f t="shared" si="19"/>
        <v>0.71648858557659079</v>
      </c>
      <c r="AN23" s="8">
        <f t="shared" si="20"/>
        <v>7.1671690159479366</v>
      </c>
      <c r="AO23" s="8">
        <f t="shared" si="21"/>
        <v>1.3434160979561078</v>
      </c>
      <c r="AP23" s="8">
        <f t="shared" si="22"/>
        <v>0.4478053659853693</v>
      </c>
      <c r="AQ23" s="8">
        <f t="shared" si="23"/>
        <v>5.0197108941566837</v>
      </c>
      <c r="AR23" s="31">
        <f t="shared" si="24"/>
        <v>9.7817382202291423</v>
      </c>
      <c r="AS23" s="8">
        <f t="shared" si="0"/>
        <v>20.090000000000146</v>
      </c>
      <c r="AT23" s="8">
        <f t="shared" si="1"/>
        <v>10.059999999999491</v>
      </c>
      <c r="AU23" s="8">
        <f t="shared" si="25"/>
        <v>34.891449114385971</v>
      </c>
      <c r="AV23" s="15">
        <f t="shared" si="26"/>
        <v>24.861449114385316</v>
      </c>
    </row>
    <row r="24" spans="1:48" x14ac:dyDescent="0.25">
      <c r="U24" s="4">
        <v>7500</v>
      </c>
      <c r="V24" s="7">
        <f t="shared" si="27"/>
        <v>16.725000000000001</v>
      </c>
      <c r="W24" s="7">
        <f t="shared" si="3"/>
        <v>2.1816615649929121</v>
      </c>
      <c r="X24" s="7">
        <f t="shared" si="4"/>
        <v>2.1816615649929121</v>
      </c>
      <c r="Y24" s="7">
        <f t="shared" si="5"/>
        <v>2.4068856639084975</v>
      </c>
      <c r="Z24" s="7">
        <f t="shared" si="6"/>
        <v>2.1816615649929121</v>
      </c>
      <c r="AA24" s="7">
        <f t="shared" si="7"/>
        <v>2.1816615649929121</v>
      </c>
      <c r="AB24" s="8">
        <f t="shared" si="28"/>
        <v>7.6661752988504146</v>
      </c>
      <c r="AC24" s="8">
        <f t="shared" si="29"/>
        <v>7.6661752988504146</v>
      </c>
      <c r="AD24" s="8">
        <f t="shared" si="10"/>
        <v>6.9488136685481692</v>
      </c>
      <c r="AE24" s="8">
        <f t="shared" si="11"/>
        <v>7.6661752988504146</v>
      </c>
      <c r="AF24" s="8">
        <f t="shared" si="12"/>
        <v>7.6661752988504146</v>
      </c>
      <c r="AG24" s="8">
        <f t="shared" si="13"/>
        <v>4.5629071205515716E-2</v>
      </c>
      <c r="AH24" s="8">
        <f t="shared" si="14"/>
        <v>3.3035447552793378</v>
      </c>
      <c r="AI24" s="8">
        <f t="shared" si="15"/>
        <v>0.56983491714523937</v>
      </c>
      <c r="AJ24" s="8">
        <f t="shared" si="16"/>
        <v>0.27377442723309425</v>
      </c>
      <c r="AK24" s="8">
        <f t="shared" si="17"/>
        <v>1.5696400494697407</v>
      </c>
      <c r="AL24" s="8">
        <f t="shared" si="18"/>
        <v>0.12140699167159372</v>
      </c>
      <c r="AM24" s="8">
        <f t="shared" si="19"/>
        <v>0.81403155335359767</v>
      </c>
      <c r="AN24" s="8">
        <f t="shared" si="20"/>
        <v>8.1429095238199061</v>
      </c>
      <c r="AO24" s="8">
        <f t="shared" si="21"/>
        <v>1.5263091625379959</v>
      </c>
      <c r="AP24" s="8">
        <f t="shared" si="22"/>
        <v>0.50876972084599859</v>
      </c>
      <c r="AQ24" s="8">
        <f t="shared" si="23"/>
        <v>5.762423220332928</v>
      </c>
      <c r="AR24" s="31">
        <f t="shared" si="24"/>
        <v>11.113426952229092</v>
      </c>
      <c r="AS24" s="8">
        <f t="shared" si="0"/>
        <v>20.090000000000146</v>
      </c>
      <c r="AT24" s="8">
        <f t="shared" si="1"/>
        <v>10.059999999999491</v>
      </c>
      <c r="AU24" s="8">
        <f t="shared" si="25"/>
        <v>36.96585017256217</v>
      </c>
      <c r="AV24" s="15">
        <f t="shared" si="26"/>
        <v>26.935850172561512</v>
      </c>
    </row>
    <row r="25" spans="1:48" x14ac:dyDescent="0.25">
      <c r="U25" s="4">
        <v>8000</v>
      </c>
      <c r="V25" s="7">
        <f t="shared" si="27"/>
        <v>17.840000000000003</v>
      </c>
      <c r="W25" s="7">
        <f t="shared" si="3"/>
        <v>2.1816615649929121</v>
      </c>
      <c r="X25" s="7">
        <f t="shared" si="4"/>
        <v>2.1816615649929121</v>
      </c>
      <c r="Y25" s="7">
        <f t="shared" si="5"/>
        <v>2.4068856639084975</v>
      </c>
      <c r="Z25" s="7">
        <f t="shared" si="6"/>
        <v>2.1816615649929121</v>
      </c>
      <c r="AA25" s="7">
        <f t="shared" si="7"/>
        <v>2.1816615649929121</v>
      </c>
      <c r="AB25" s="8">
        <f t="shared" si="28"/>
        <v>8.17725365210711</v>
      </c>
      <c r="AC25" s="8">
        <f t="shared" si="29"/>
        <v>8.17725365210711</v>
      </c>
      <c r="AD25" s="8">
        <f t="shared" si="10"/>
        <v>7.4120679131180474</v>
      </c>
      <c r="AE25" s="8">
        <f t="shared" si="11"/>
        <v>8.17725365210711</v>
      </c>
      <c r="AF25" s="8">
        <f t="shared" si="12"/>
        <v>8.17725365210711</v>
      </c>
      <c r="AG25" s="8">
        <f t="shared" si="13"/>
        <v>5.1915743238275677E-2</v>
      </c>
      <c r="AH25" s="8">
        <f t="shared" si="14"/>
        <v>3.7586998104511591</v>
      </c>
      <c r="AI25" s="8">
        <f t="shared" si="15"/>
        <v>0.64834550572969463</v>
      </c>
      <c r="AJ25" s="8">
        <f t="shared" si="16"/>
        <v>0.31149445942965404</v>
      </c>
      <c r="AK25" s="8">
        <f t="shared" si="17"/>
        <v>1.7859015673966832</v>
      </c>
      <c r="AL25" s="8">
        <f t="shared" si="18"/>
        <v>0.13680338281938079</v>
      </c>
      <c r="AM25" s="8">
        <f t="shared" si="19"/>
        <v>0.91726406104948799</v>
      </c>
      <c r="AN25" s="8">
        <f t="shared" si="20"/>
        <v>9.1755635611499944</v>
      </c>
      <c r="AO25" s="8">
        <f t="shared" si="21"/>
        <v>1.7198701144677901</v>
      </c>
      <c r="AP25" s="8">
        <f t="shared" si="22"/>
        <v>0.57329003815593005</v>
      </c>
      <c r="AQ25" s="8">
        <f t="shared" si="23"/>
        <v>6.556357086245467</v>
      </c>
      <c r="AR25" s="31">
        <f t="shared" si="24"/>
        <v>12.522791157642583</v>
      </c>
      <c r="AS25" s="8">
        <f t="shared" si="0"/>
        <v>20.090000000000146</v>
      </c>
      <c r="AT25" s="8">
        <f t="shared" si="1"/>
        <v>10.059999999999491</v>
      </c>
      <c r="AU25" s="8">
        <f t="shared" si="25"/>
        <v>39.169148243888195</v>
      </c>
      <c r="AV25" s="15">
        <f t="shared" si="26"/>
        <v>29.13914824388754</v>
      </c>
    </row>
    <row r="26" spans="1:48" x14ac:dyDescent="0.25">
      <c r="U26" s="4">
        <v>8500</v>
      </c>
      <c r="V26" s="7">
        <f t="shared" ref="V26:V28" si="30">U26*0.00223</f>
        <v>18.955000000000002</v>
      </c>
      <c r="W26" s="7">
        <f t="shared" si="3"/>
        <v>2.1816615649929121</v>
      </c>
      <c r="X26" s="7">
        <f t="shared" si="4"/>
        <v>2.1816615649929121</v>
      </c>
      <c r="Y26" s="7">
        <f t="shared" si="5"/>
        <v>2.4068856639084975</v>
      </c>
      <c r="Z26" s="7">
        <f t="shared" si="6"/>
        <v>2.1816615649929121</v>
      </c>
      <c r="AA26" s="7">
        <f t="shared" si="7"/>
        <v>2.1816615649929121</v>
      </c>
      <c r="AB26" s="8">
        <f t="shared" ref="AB26:AB28" si="31">V26/W26</f>
        <v>8.6883320053638027</v>
      </c>
      <c r="AC26" s="8">
        <f t="shared" si="29"/>
        <v>8.6883320053638027</v>
      </c>
      <c r="AD26" s="8">
        <f t="shared" si="10"/>
        <v>7.8753221576879247</v>
      </c>
      <c r="AE26" s="8">
        <f t="shared" si="11"/>
        <v>8.6883320053638027</v>
      </c>
      <c r="AF26" s="8">
        <f t="shared" si="12"/>
        <v>8.6883320053638027</v>
      </c>
      <c r="AG26" s="8">
        <f t="shared" si="13"/>
        <v>5.8608007015084618E-2</v>
      </c>
      <c r="AH26" s="8">
        <f t="shared" si="14"/>
        <v>4.2432197078921261</v>
      </c>
      <c r="AI26" s="8">
        <f t="shared" si="15"/>
        <v>0.73192129357766289</v>
      </c>
      <c r="AJ26" s="8">
        <f t="shared" si="16"/>
        <v>0.35164804209050765</v>
      </c>
      <c r="AK26" s="8">
        <f t="shared" si="17"/>
        <v>2.0161154413189109</v>
      </c>
      <c r="AL26" s="8">
        <f t="shared" si="18"/>
        <v>0.15304014666181714</v>
      </c>
      <c r="AM26" s="8">
        <f t="shared" si="19"/>
        <v>1.0261312515639081</v>
      </c>
      <c r="AN26" s="8">
        <f t="shared" si="20"/>
        <v>10.264582382127214</v>
      </c>
      <c r="AO26" s="8">
        <f t="shared" si="21"/>
        <v>1.9239960966823277</v>
      </c>
      <c r="AP26" s="8">
        <f t="shared" si="22"/>
        <v>0.64133203222744262</v>
      </c>
      <c r="AQ26" s="8">
        <f t="shared" si="23"/>
        <v>7.4015124918942927</v>
      </c>
      <c r="AR26" s="31">
        <f t="shared" si="24"/>
        <v>14.009081909262708</v>
      </c>
      <c r="AS26" s="8">
        <f t="shared" si="0"/>
        <v>20.090000000000146</v>
      </c>
      <c r="AT26" s="8">
        <f t="shared" si="1"/>
        <v>10.059999999999491</v>
      </c>
      <c r="AU26" s="8">
        <f t="shared" si="25"/>
        <v>41.500594401157144</v>
      </c>
      <c r="AV26" s="15">
        <f t="shared" si="26"/>
        <v>31.47059440115649</v>
      </c>
    </row>
    <row r="27" spans="1:48" x14ac:dyDescent="0.25">
      <c r="A27" s="1" t="s">
        <v>39</v>
      </c>
      <c r="B27" s="37" t="s">
        <v>40</v>
      </c>
      <c r="C27" t="s">
        <v>42</v>
      </c>
      <c r="E27" s="1" t="s">
        <v>39</v>
      </c>
      <c r="F27" s="37" t="s">
        <v>40</v>
      </c>
      <c r="G27" t="s">
        <v>42</v>
      </c>
      <c r="I27" s="1" t="s">
        <v>39</v>
      </c>
      <c r="J27" s="37" t="s">
        <v>40</v>
      </c>
      <c r="M27" s="1" t="s">
        <v>39</v>
      </c>
      <c r="N27" s="37" t="s">
        <v>40</v>
      </c>
      <c r="Q27" s="1" t="s">
        <v>39</v>
      </c>
      <c r="R27" s="37" t="s">
        <v>40</v>
      </c>
      <c r="U27" s="4">
        <v>9000</v>
      </c>
      <c r="V27" s="7">
        <f t="shared" si="30"/>
        <v>20.07</v>
      </c>
      <c r="W27" s="7">
        <f t="shared" si="3"/>
        <v>2.1816615649929121</v>
      </c>
      <c r="X27" s="7">
        <f t="shared" si="4"/>
        <v>2.1816615649929121</v>
      </c>
      <c r="Y27" s="7">
        <f t="shared" si="5"/>
        <v>2.4068856639084975</v>
      </c>
      <c r="Z27" s="7">
        <f t="shared" si="6"/>
        <v>2.1816615649929121</v>
      </c>
      <c r="AA27" s="7">
        <f t="shared" si="7"/>
        <v>2.1816615649929121</v>
      </c>
      <c r="AB27" s="8">
        <f t="shared" si="31"/>
        <v>9.1994103586204972</v>
      </c>
      <c r="AC27" s="8">
        <f t="shared" si="29"/>
        <v>9.1994103586204972</v>
      </c>
      <c r="AD27" s="8">
        <f t="shared" si="10"/>
        <v>8.3385764022578019</v>
      </c>
      <c r="AE27" s="8">
        <f t="shared" si="11"/>
        <v>9.1994103586204972</v>
      </c>
      <c r="AF27" s="8">
        <f t="shared" si="12"/>
        <v>9.1994103586204972</v>
      </c>
      <c r="AG27" s="8">
        <f t="shared" si="13"/>
        <v>6.5705862535942627E-2</v>
      </c>
      <c r="AH27" s="8">
        <f t="shared" si="14"/>
        <v>4.7571044476022459</v>
      </c>
      <c r="AI27" s="8">
        <f t="shared" si="15"/>
        <v>0.82056228068914439</v>
      </c>
      <c r="AJ27" s="8">
        <f t="shared" si="16"/>
        <v>0.39423517521565571</v>
      </c>
      <c r="AK27" s="8">
        <f t="shared" si="17"/>
        <v>2.2602816712364264</v>
      </c>
      <c r="AL27" s="8">
        <f t="shared" si="18"/>
        <v>0.17010967040154151</v>
      </c>
      <c r="AM27" s="8">
        <f t="shared" si="19"/>
        <v>1.1405820812363896</v>
      </c>
      <c r="AN27" s="8">
        <f t="shared" si="20"/>
        <v>11.40945538749132</v>
      </c>
      <c r="AO27" s="8">
        <f t="shared" si="21"/>
        <v>2.1385914023182306</v>
      </c>
      <c r="AP27" s="8">
        <f t="shared" si="22"/>
        <v>0.71286380077274347</v>
      </c>
      <c r="AQ27" s="8">
        <f t="shared" si="23"/>
        <v>8.2978894372794159</v>
      </c>
      <c r="AR27" s="31">
        <f t="shared" si="24"/>
        <v>15.571602342220224</v>
      </c>
      <c r="AS27" s="8">
        <f t="shared" si="0"/>
        <v>20.090000000000146</v>
      </c>
      <c r="AT27" s="8">
        <f t="shared" si="1"/>
        <v>10.059999999999491</v>
      </c>
      <c r="AU27" s="8">
        <f t="shared" si="25"/>
        <v>43.959491779499785</v>
      </c>
      <c r="AV27" s="15">
        <f t="shared" si="26"/>
        <v>33.929491779499131</v>
      </c>
    </row>
    <row r="28" spans="1:48" x14ac:dyDescent="0.25">
      <c r="A28" t="s">
        <v>41</v>
      </c>
      <c r="B28" s="37">
        <v>0.5</v>
      </c>
      <c r="C28">
        <v>1</v>
      </c>
      <c r="E28" t="s">
        <v>41</v>
      </c>
      <c r="F28" s="37">
        <v>0.5</v>
      </c>
      <c r="I28" t="s">
        <v>41</v>
      </c>
      <c r="J28" s="37">
        <v>0.5</v>
      </c>
      <c r="M28" t="s">
        <v>41</v>
      </c>
      <c r="N28" s="37">
        <v>0.5</v>
      </c>
      <c r="Q28" t="s">
        <v>41</v>
      </c>
      <c r="R28" s="37">
        <v>0.5</v>
      </c>
      <c r="S28" t="s">
        <v>42</v>
      </c>
      <c r="U28" s="4">
        <v>9500</v>
      </c>
      <c r="V28" s="7">
        <f t="shared" si="30"/>
        <v>21.185000000000002</v>
      </c>
      <c r="W28" s="7">
        <f t="shared" si="3"/>
        <v>2.1816615649929121</v>
      </c>
      <c r="X28" s="7">
        <f t="shared" si="4"/>
        <v>2.1816615649929121</v>
      </c>
      <c r="Y28" s="7">
        <f t="shared" si="5"/>
        <v>2.4068856639084975</v>
      </c>
      <c r="Z28" s="7">
        <f t="shared" si="6"/>
        <v>2.1816615649929121</v>
      </c>
      <c r="AA28" s="7">
        <f t="shared" si="7"/>
        <v>2.1816615649929121</v>
      </c>
      <c r="AB28" s="8">
        <f t="shared" si="31"/>
        <v>9.7104887118771916</v>
      </c>
      <c r="AC28" s="8">
        <f t="shared" si="29"/>
        <v>9.7104887118771916</v>
      </c>
      <c r="AD28" s="8">
        <f t="shared" si="10"/>
        <v>8.8018306468276801</v>
      </c>
      <c r="AE28" s="8">
        <f t="shared" si="11"/>
        <v>9.7104887118771916</v>
      </c>
      <c r="AF28" s="8">
        <f t="shared" si="12"/>
        <v>9.7104887118771916</v>
      </c>
      <c r="AG28" s="8">
        <f t="shared" si="13"/>
        <v>7.3209309800849651E-2</v>
      </c>
      <c r="AH28" s="8">
        <f t="shared" si="14"/>
        <v>5.3003540295815146</v>
      </c>
      <c r="AI28" s="8">
        <f t="shared" si="15"/>
        <v>0.91426846706413945</v>
      </c>
      <c r="AJ28" s="8">
        <f t="shared" si="16"/>
        <v>0.43925585880509793</v>
      </c>
      <c r="AK28" s="8">
        <f t="shared" si="17"/>
        <v>2.5184002571492279</v>
      </c>
      <c r="AL28" s="8">
        <f t="shared" si="18"/>
        <v>0.1880048402311458</v>
      </c>
      <c r="AM28" s="8">
        <f t="shared" si="19"/>
        <v>1.2605688521245408</v>
      </c>
      <c r="AN28" s="8">
        <f t="shared" si="20"/>
        <v>12.609705445824272</v>
      </c>
      <c r="AO28" s="8">
        <f t="shared" si="21"/>
        <v>2.3635665977335143</v>
      </c>
      <c r="AP28" s="8">
        <f t="shared" si="22"/>
        <v>0.78785553257783814</v>
      </c>
      <c r="AQ28" s="8">
        <f t="shared" si="23"/>
        <v>9.2454879224008302</v>
      </c>
      <c r="AR28" s="31">
        <f t="shared" si="24"/>
        <v>17.209701268491308</v>
      </c>
      <c r="AS28" s="8">
        <f t="shared" si="0"/>
        <v>20.090000000000146</v>
      </c>
      <c r="AT28" s="8">
        <f t="shared" si="1"/>
        <v>10.059999999999491</v>
      </c>
      <c r="AU28" s="8">
        <f t="shared" si="25"/>
        <v>46.545189190892287</v>
      </c>
      <c r="AV28" s="15">
        <f t="shared" si="26"/>
        <v>36.515189190891633</v>
      </c>
    </row>
    <row r="29" spans="1:48" x14ac:dyDescent="0.25">
      <c r="A29" t="s">
        <v>102</v>
      </c>
      <c r="B29" s="37"/>
      <c r="E29" t="s">
        <v>102</v>
      </c>
      <c r="F29" s="37"/>
      <c r="I29" t="s">
        <v>102</v>
      </c>
      <c r="J29" s="37"/>
      <c r="M29" t="s">
        <v>102</v>
      </c>
      <c r="N29" s="37"/>
      <c r="O29">
        <v>1</v>
      </c>
      <c r="Q29" t="s">
        <v>102</v>
      </c>
      <c r="R29" s="37"/>
      <c r="S29">
        <v>0</v>
      </c>
      <c r="U29" s="4">
        <v>10275</v>
      </c>
      <c r="V29" s="7">
        <f>U29*0.00223</f>
        <v>22.913250000000001</v>
      </c>
      <c r="W29" s="7">
        <f t="shared" si="3"/>
        <v>2.1816615649929121</v>
      </c>
      <c r="X29" s="7">
        <f t="shared" si="4"/>
        <v>2.1816615649929121</v>
      </c>
      <c r="Y29" s="7">
        <f t="shared" si="5"/>
        <v>2.4068856639084975</v>
      </c>
      <c r="Z29" s="7">
        <f t="shared" si="6"/>
        <v>2.1816615649929121</v>
      </c>
      <c r="AA29" s="7">
        <f t="shared" si="7"/>
        <v>2.1816615649929121</v>
      </c>
      <c r="AB29" s="8">
        <f>V29/W29</f>
        <v>10.502660159425067</v>
      </c>
      <c r="AC29" s="8">
        <f>V29/X29</f>
        <v>10.502660159425067</v>
      </c>
      <c r="AD29" s="8">
        <f t="shared" si="10"/>
        <v>9.5198747259109915</v>
      </c>
      <c r="AE29" s="8">
        <f t="shared" si="11"/>
        <v>10.502660159425067</v>
      </c>
      <c r="AF29" s="8">
        <f t="shared" si="12"/>
        <v>10.502660159425067</v>
      </c>
      <c r="AG29" s="8">
        <f t="shared" si="13"/>
        <v>8.5641203745632444E-2</v>
      </c>
      <c r="AH29" s="8">
        <f t="shared" si="14"/>
        <v>6.2004231511837888</v>
      </c>
      <c r="AI29" s="8">
        <f t="shared" si="15"/>
        <v>1.0695231559898997</v>
      </c>
      <c r="AJ29" s="8">
        <f t="shared" si="16"/>
        <v>0.51384722247379455</v>
      </c>
      <c r="AK29" s="8">
        <f t="shared" si="17"/>
        <v>2.9460574088497555</v>
      </c>
      <c r="AL29" s="8">
        <f t="shared" si="18"/>
        <v>0.21735855946789773</v>
      </c>
      <c r="AM29" s="8">
        <f t="shared" si="19"/>
        <v>1.4573849772751764</v>
      </c>
      <c r="AN29" s="8">
        <f t="shared" si="20"/>
        <v>14.578493870950945</v>
      </c>
      <c r="AO29" s="8">
        <f t="shared" si="21"/>
        <v>2.7325968323909557</v>
      </c>
      <c r="AP29" s="8">
        <f t="shared" si="22"/>
        <v>0.91086561079698525</v>
      </c>
      <c r="AQ29" s="8">
        <f t="shared" si="23"/>
        <v>10.815492142242871</v>
      </c>
      <c r="AR29" s="31">
        <f t="shared" si="24"/>
        <v>19.896699850881962</v>
      </c>
      <c r="AS29" s="8">
        <f t="shared" si="0"/>
        <v>20.090000000000146</v>
      </c>
      <c r="AT29" s="8">
        <f t="shared" si="1"/>
        <v>10.059999999999491</v>
      </c>
      <c r="AU29" s="8">
        <f t="shared" si="25"/>
        <v>50.802191993124978</v>
      </c>
      <c r="AV29" s="15">
        <f t="shared" si="26"/>
        <v>40.772191993124324</v>
      </c>
    </row>
    <row r="30" spans="1:48" x14ac:dyDescent="0.25">
      <c r="A30" t="s">
        <v>43</v>
      </c>
      <c r="B30" s="37">
        <v>0.05</v>
      </c>
      <c r="C30">
        <v>1</v>
      </c>
      <c r="E30" t="s">
        <v>43</v>
      </c>
      <c r="F30" s="37">
        <v>0.05</v>
      </c>
      <c r="I30" t="s">
        <v>43</v>
      </c>
      <c r="J30" s="37">
        <v>0.05</v>
      </c>
      <c r="M30" t="s">
        <v>43</v>
      </c>
      <c r="N30" s="37">
        <v>0.05</v>
      </c>
      <c r="Q30" t="s">
        <v>43</v>
      </c>
      <c r="R30" s="37">
        <v>0.05</v>
      </c>
      <c r="U30" s="4">
        <v>10500</v>
      </c>
      <c r="V30" s="7">
        <f>U30*0.00223</f>
        <v>23.415000000000003</v>
      </c>
      <c r="W30" s="7">
        <f t="shared" si="3"/>
        <v>2.1816615649929121</v>
      </c>
      <c r="X30" s="7">
        <f t="shared" si="4"/>
        <v>2.1816615649929121</v>
      </c>
      <c r="Y30" s="7">
        <f t="shared" si="5"/>
        <v>2.4068856639084975</v>
      </c>
      <c r="Z30" s="7">
        <f t="shared" si="6"/>
        <v>2.1816615649929121</v>
      </c>
      <c r="AA30" s="7">
        <f t="shared" si="7"/>
        <v>2.1816615649929121</v>
      </c>
      <c r="AB30" s="8">
        <f>V30/W30</f>
        <v>10.732645418390581</v>
      </c>
      <c r="AC30" s="8">
        <f>V30/X30</f>
        <v>10.732645418390581</v>
      </c>
      <c r="AD30" s="8">
        <f t="shared" si="10"/>
        <v>9.7283391359674365</v>
      </c>
      <c r="AE30" s="8">
        <f t="shared" si="11"/>
        <v>10.732645418390581</v>
      </c>
      <c r="AF30" s="8">
        <f t="shared" si="12"/>
        <v>10.732645418390581</v>
      </c>
      <c r="AG30" s="8">
        <f t="shared" si="13"/>
        <v>8.9432979562810808E-2</v>
      </c>
      <c r="AH30" s="8">
        <f t="shared" si="14"/>
        <v>6.4749477203475019</v>
      </c>
      <c r="AI30" s="8">
        <f t="shared" si="15"/>
        <v>1.1168764376046691</v>
      </c>
      <c r="AJ30" s="8">
        <f t="shared" si="16"/>
        <v>0.53659787737686471</v>
      </c>
      <c r="AK30" s="8">
        <f t="shared" si="17"/>
        <v>3.0764944969606915</v>
      </c>
      <c r="AL30" s="8">
        <f t="shared" si="18"/>
        <v>0.2262458198796487</v>
      </c>
      <c r="AM30" s="8">
        <f t="shared" si="19"/>
        <v>1.5169738880819359</v>
      </c>
      <c r="AN30" s="8">
        <f t="shared" si="20"/>
        <v>15.174572864846681</v>
      </c>
      <c r="AO30" s="8">
        <f t="shared" si="21"/>
        <v>2.8443260401536299</v>
      </c>
      <c r="AP30" s="8">
        <f t="shared" si="22"/>
        <v>0.94810868005120996</v>
      </c>
      <c r="AQ30" s="8">
        <f t="shared" si="23"/>
        <v>11.294349511852538</v>
      </c>
      <c r="AR30" s="31">
        <f t="shared" si="24"/>
        <v>20.710227293013105</v>
      </c>
      <c r="AS30" s="8">
        <f t="shared" si="0"/>
        <v>20.090000000000146</v>
      </c>
      <c r="AT30" s="8">
        <f t="shared" si="1"/>
        <v>10.059999999999491</v>
      </c>
      <c r="AU30" s="8">
        <f t="shared" si="25"/>
        <v>52.094576804865788</v>
      </c>
      <c r="AV30" s="15">
        <f t="shared" si="26"/>
        <v>42.064576804865133</v>
      </c>
    </row>
    <row r="31" spans="1:48" x14ac:dyDescent="0.25">
      <c r="A31" t="s">
        <v>44</v>
      </c>
      <c r="B31" s="37">
        <v>0.25</v>
      </c>
      <c r="E31" t="s">
        <v>44</v>
      </c>
      <c r="F31" s="37">
        <v>0.25</v>
      </c>
      <c r="I31" t="s">
        <v>44</v>
      </c>
      <c r="J31" s="37">
        <v>0.25</v>
      </c>
      <c r="M31" t="s">
        <v>44</v>
      </c>
      <c r="N31" s="37">
        <v>0.25</v>
      </c>
      <c r="Q31" t="s">
        <v>44</v>
      </c>
      <c r="R31" s="37">
        <v>0.25</v>
      </c>
      <c r="U31" s="32">
        <v>10800</v>
      </c>
      <c r="V31" s="33">
        <f>U31*0.00223</f>
        <v>24.084000000000003</v>
      </c>
      <c r="W31" s="7">
        <f t="shared" si="3"/>
        <v>2.1816615649929121</v>
      </c>
      <c r="X31" s="7">
        <f t="shared" si="4"/>
        <v>2.1816615649929121</v>
      </c>
      <c r="Y31" s="7">
        <f t="shared" si="5"/>
        <v>2.4068856639084975</v>
      </c>
      <c r="Z31" s="7">
        <f t="shared" si="6"/>
        <v>2.1816615649929121</v>
      </c>
      <c r="AA31" s="7">
        <f t="shared" si="7"/>
        <v>2.1816615649929121</v>
      </c>
      <c r="AB31" s="19">
        <f>V31/W31</f>
        <v>11.039292430344597</v>
      </c>
      <c r="AC31" s="36">
        <f>V31/X31</f>
        <v>11.039292430344597</v>
      </c>
      <c r="AD31" s="8">
        <f t="shared" si="10"/>
        <v>10.006291682709364</v>
      </c>
      <c r="AE31" s="8">
        <f t="shared" si="11"/>
        <v>11.039292430344597</v>
      </c>
      <c r="AF31" s="8">
        <f t="shared" si="12"/>
        <v>11.039292430344597</v>
      </c>
      <c r="AG31" s="8">
        <f t="shared" si="13"/>
        <v>9.4616442051757385E-2</v>
      </c>
      <c r="AH31" s="8">
        <f t="shared" si="14"/>
        <v>6.8502304045472338</v>
      </c>
      <c r="AI31" s="8">
        <f t="shared" si="15"/>
        <v>1.1816096841923682</v>
      </c>
      <c r="AJ31" s="8">
        <f t="shared" si="16"/>
        <v>0.56769865231054417</v>
      </c>
      <c r="AK31" s="8">
        <f t="shared" si="17"/>
        <v>3.2548056065804536</v>
      </c>
      <c r="AL31" s="8">
        <f t="shared" si="18"/>
        <v>0.23834953461656153</v>
      </c>
      <c r="AM31" s="8">
        <f t="shared" si="19"/>
        <v>1.5981290635210064</v>
      </c>
      <c r="AN31" s="8">
        <f t="shared" si="20"/>
        <v>15.986383228053882</v>
      </c>
      <c r="AO31" s="8">
        <f t="shared" si="21"/>
        <v>2.9964919941018873</v>
      </c>
      <c r="AP31" s="8">
        <f t="shared" si="22"/>
        <v>0.99883066470062909</v>
      </c>
      <c r="AQ31" s="8">
        <f t="shared" si="23"/>
        <v>11.948960789682356</v>
      </c>
      <c r="AR31" s="31">
        <f t="shared" si="24"/>
        <v>21.818184484993967</v>
      </c>
      <c r="AS31" s="19">
        <f t="shared" si="0"/>
        <v>20.090000000000146</v>
      </c>
      <c r="AT31" s="19">
        <f t="shared" si="1"/>
        <v>10.059999999999491</v>
      </c>
      <c r="AU31" s="8">
        <f t="shared" si="25"/>
        <v>53.857145274676469</v>
      </c>
      <c r="AV31" s="15">
        <f t="shared" si="26"/>
        <v>43.827145274675814</v>
      </c>
    </row>
    <row r="32" spans="1:48" x14ac:dyDescent="0.25">
      <c r="A32" t="s">
        <v>45</v>
      </c>
      <c r="B32" s="37">
        <v>0.5</v>
      </c>
      <c r="E32" t="s">
        <v>45</v>
      </c>
      <c r="F32" s="37">
        <v>0.5</v>
      </c>
      <c r="I32" t="s">
        <v>45</v>
      </c>
      <c r="J32" s="37">
        <v>0.5</v>
      </c>
      <c r="M32" t="s">
        <v>45</v>
      </c>
      <c r="N32" s="37">
        <v>0.5</v>
      </c>
      <c r="Q32" t="s">
        <v>45</v>
      </c>
      <c r="R32" s="37">
        <v>0.5</v>
      </c>
      <c r="U32" s="4">
        <v>11000</v>
      </c>
      <c r="V32" s="7">
        <f t="shared" ref="V32:V36" si="32">U32*0.00223</f>
        <v>24.53</v>
      </c>
      <c r="W32" s="7">
        <f t="shared" si="3"/>
        <v>2.1816615649929121</v>
      </c>
      <c r="X32" s="7">
        <f t="shared" si="4"/>
        <v>2.1816615649929121</v>
      </c>
      <c r="Y32" s="7">
        <f t="shared" si="5"/>
        <v>2.4068856639084975</v>
      </c>
      <c r="Z32" s="7">
        <f t="shared" si="6"/>
        <v>2.1816615649929121</v>
      </c>
      <c r="AA32" s="7">
        <f t="shared" si="7"/>
        <v>2.1816615649929121</v>
      </c>
      <c r="AB32" s="8">
        <f t="shared" ref="AB32:AB36" si="33">V32/W32</f>
        <v>11.243723771647275</v>
      </c>
      <c r="AC32" s="8">
        <f t="shared" si="29"/>
        <v>11.243723771647275</v>
      </c>
      <c r="AD32" s="8">
        <f t="shared" si="10"/>
        <v>10.191593380537315</v>
      </c>
      <c r="AE32" s="8">
        <f t="shared" si="11"/>
        <v>11.243723771647275</v>
      </c>
      <c r="AF32" s="8">
        <f t="shared" si="12"/>
        <v>11.243723771647275</v>
      </c>
      <c r="AG32" s="8">
        <f t="shared" si="13"/>
        <v>9.8153202059864927E-2</v>
      </c>
      <c r="AH32" s="8">
        <f t="shared" si="14"/>
        <v>7.1062918291342196</v>
      </c>
      <c r="AI32" s="8">
        <f t="shared" si="15"/>
        <v>1.2257782217702038</v>
      </c>
      <c r="AJ32" s="8">
        <f t="shared" si="16"/>
        <v>0.58891921235918943</v>
      </c>
      <c r="AK32" s="8">
        <f t="shared" si="17"/>
        <v>3.3764701508593529</v>
      </c>
      <c r="AL32" s="8">
        <f t="shared" si="18"/>
        <v>0.24657942083935655</v>
      </c>
      <c r="AM32" s="8">
        <f t="shared" si="19"/>
        <v>1.6533102929841914</v>
      </c>
      <c r="AN32" s="8">
        <f t="shared" si="20"/>
        <v>16.538371363010956</v>
      </c>
      <c r="AO32" s="8">
        <f t="shared" si="21"/>
        <v>3.0999567993453594</v>
      </c>
      <c r="AP32" s="8">
        <f t="shared" si="22"/>
        <v>1.0333189331151198</v>
      </c>
      <c r="AQ32" s="8">
        <f t="shared" si="23"/>
        <v>12.395612616182829</v>
      </c>
      <c r="AR32" s="31">
        <f t="shared" si="24"/>
        <v>22.571536809294983</v>
      </c>
      <c r="AS32" s="8">
        <f t="shared" si="0"/>
        <v>20.090000000000146</v>
      </c>
      <c r="AT32" s="8">
        <f t="shared" si="1"/>
        <v>10.059999999999491</v>
      </c>
      <c r="AU32" s="8">
        <f t="shared" si="25"/>
        <v>55.057149425477959</v>
      </c>
      <c r="AV32" s="15">
        <f t="shared" si="26"/>
        <v>45.027149425477305</v>
      </c>
    </row>
    <row r="33" spans="1:48" x14ac:dyDescent="0.25">
      <c r="A33" t="s">
        <v>46</v>
      </c>
      <c r="B33" s="37">
        <v>0.8</v>
      </c>
      <c r="E33" t="s">
        <v>46</v>
      </c>
      <c r="F33" s="37">
        <v>0.8</v>
      </c>
      <c r="I33" t="s">
        <v>46</v>
      </c>
      <c r="J33" s="37">
        <v>0.8</v>
      </c>
      <c r="M33" t="s">
        <v>46</v>
      </c>
      <c r="N33" s="37">
        <v>0.8</v>
      </c>
      <c r="Q33" t="s">
        <v>46</v>
      </c>
      <c r="R33" s="37">
        <v>0.8</v>
      </c>
      <c r="U33" s="4">
        <v>11500</v>
      </c>
      <c r="V33" s="7">
        <f t="shared" si="32"/>
        <v>25.645000000000003</v>
      </c>
      <c r="W33" s="7">
        <f t="shared" si="3"/>
        <v>2.1816615649929121</v>
      </c>
      <c r="X33" s="7">
        <f t="shared" si="4"/>
        <v>2.1816615649929121</v>
      </c>
      <c r="Y33" s="7">
        <f t="shared" si="5"/>
        <v>2.4068856639084975</v>
      </c>
      <c r="Z33" s="7">
        <f t="shared" si="6"/>
        <v>2.1816615649929121</v>
      </c>
      <c r="AA33" s="7">
        <f t="shared" si="7"/>
        <v>2.1816615649929121</v>
      </c>
      <c r="AB33" s="8">
        <f t="shared" si="33"/>
        <v>11.75480212490397</v>
      </c>
      <c r="AC33" s="8">
        <f t="shared" si="29"/>
        <v>11.75480212490397</v>
      </c>
      <c r="AD33" s="8">
        <f t="shared" si="10"/>
        <v>10.654847625107193</v>
      </c>
      <c r="AE33" s="8">
        <f t="shared" si="11"/>
        <v>11.75480212490397</v>
      </c>
      <c r="AF33" s="8">
        <f t="shared" si="12"/>
        <v>11.75480212490397</v>
      </c>
      <c r="AG33" s="8">
        <f t="shared" si="13"/>
        <v>0.10727901630096807</v>
      </c>
      <c r="AH33" s="8">
        <f t="shared" si="14"/>
        <v>7.767000780190088</v>
      </c>
      <c r="AI33" s="8">
        <f t="shared" si="15"/>
        <v>1.3397452051992516</v>
      </c>
      <c r="AJ33" s="8">
        <f t="shared" si="16"/>
        <v>0.64367409780580842</v>
      </c>
      <c r="AK33" s="8">
        <f t="shared" si="17"/>
        <v>3.6903981607533014</v>
      </c>
      <c r="AL33" s="8">
        <f t="shared" si="18"/>
        <v>0.26771417399093644</v>
      </c>
      <c r="AM33" s="8">
        <f t="shared" si="19"/>
        <v>1.7950184079852063</v>
      </c>
      <c r="AN33" s="8">
        <f t="shared" si="20"/>
        <v>17.955904079636614</v>
      </c>
      <c r="AO33" s="8">
        <f t="shared" si="21"/>
        <v>3.3656595149722621</v>
      </c>
      <c r="AP33" s="8">
        <f t="shared" si="22"/>
        <v>1.121886504990754</v>
      </c>
      <c r="AQ33" s="8">
        <f t="shared" si="23"/>
        <v>13.548097260249417</v>
      </c>
      <c r="AR33" s="31">
        <f t="shared" si="24"/>
        <v>24.506182681575773</v>
      </c>
      <c r="AS33" s="8">
        <f t="shared" si="0"/>
        <v>20.090000000000146</v>
      </c>
      <c r="AT33" s="8">
        <f t="shared" si="1"/>
        <v>10.059999999999491</v>
      </c>
      <c r="AU33" s="8">
        <f t="shared" si="25"/>
        <v>58.144279941825332</v>
      </c>
      <c r="AV33" s="15">
        <f t="shared" si="26"/>
        <v>48.114279941824677</v>
      </c>
    </row>
    <row r="34" spans="1:48" x14ac:dyDescent="0.25">
      <c r="A34" t="s">
        <v>47</v>
      </c>
      <c r="B34" s="37">
        <v>1</v>
      </c>
      <c r="E34" t="s">
        <v>47</v>
      </c>
      <c r="F34" s="37">
        <v>1</v>
      </c>
      <c r="I34" t="s">
        <v>47</v>
      </c>
      <c r="J34" s="37">
        <v>1</v>
      </c>
      <c r="M34" t="s">
        <v>47</v>
      </c>
      <c r="N34" s="37">
        <v>1</v>
      </c>
      <c r="O34">
        <v>0</v>
      </c>
      <c r="Q34" t="s">
        <v>47</v>
      </c>
      <c r="R34" s="37">
        <v>1</v>
      </c>
      <c r="S34">
        <v>1</v>
      </c>
      <c r="U34" s="4">
        <v>12000</v>
      </c>
      <c r="V34" s="7">
        <f t="shared" si="32"/>
        <v>26.76</v>
      </c>
      <c r="W34" s="7">
        <f t="shared" si="3"/>
        <v>2.1816615649929121</v>
      </c>
      <c r="X34" s="7">
        <f t="shared" si="4"/>
        <v>2.1816615649929121</v>
      </c>
      <c r="Y34" s="7">
        <f t="shared" si="5"/>
        <v>2.4068856639084975</v>
      </c>
      <c r="Z34" s="7">
        <f t="shared" si="6"/>
        <v>2.1816615649929121</v>
      </c>
      <c r="AA34" s="7">
        <f t="shared" si="7"/>
        <v>2.1816615649929121</v>
      </c>
      <c r="AB34" s="8">
        <f t="shared" si="33"/>
        <v>12.265880478160664</v>
      </c>
      <c r="AC34" s="8">
        <f t="shared" si="29"/>
        <v>12.265880478160664</v>
      </c>
      <c r="AD34" s="8">
        <f t="shared" si="10"/>
        <v>11.118101869677069</v>
      </c>
      <c r="AE34" s="8">
        <f t="shared" si="11"/>
        <v>12.265880478160664</v>
      </c>
      <c r="AF34" s="8">
        <f t="shared" si="12"/>
        <v>12.265880478160664</v>
      </c>
      <c r="AG34" s="8">
        <f t="shared" si="13"/>
        <v>0.11681042228612025</v>
      </c>
      <c r="AH34" s="8">
        <f t="shared" si="14"/>
        <v>8.4570745735151061</v>
      </c>
      <c r="AI34" s="8">
        <f t="shared" si="15"/>
        <v>1.4587773878918122</v>
      </c>
      <c r="AJ34" s="8">
        <f t="shared" si="16"/>
        <v>0.70086253371672136</v>
      </c>
      <c r="AK34" s="8">
        <f t="shared" si="17"/>
        <v>4.0182785266425363</v>
      </c>
      <c r="AL34" s="8">
        <f t="shared" si="18"/>
        <v>0.2896447531976678</v>
      </c>
      <c r="AM34" s="8">
        <f t="shared" si="19"/>
        <v>1.9420625214403013</v>
      </c>
      <c r="AN34" s="8">
        <f t="shared" si="20"/>
        <v>19.42681378447822</v>
      </c>
      <c r="AO34" s="8">
        <f t="shared" si="21"/>
        <v>3.6413672277005653</v>
      </c>
      <c r="AP34" s="8">
        <f t="shared" si="22"/>
        <v>1.2137890759001884</v>
      </c>
      <c r="AQ34" s="8">
        <f t="shared" si="23"/>
        <v>14.751803444052296</v>
      </c>
      <c r="AR34" s="31">
        <f t="shared" si="24"/>
        <v>26.513677362716944</v>
      </c>
      <c r="AS34" s="8">
        <f t="shared" si="0"/>
        <v>20.090000000000146</v>
      </c>
      <c r="AT34" s="8">
        <f t="shared" si="1"/>
        <v>10.059999999999491</v>
      </c>
      <c r="AU34" s="8">
        <f t="shared" si="25"/>
        <v>61.355480806769386</v>
      </c>
      <c r="AV34" s="15">
        <f t="shared" si="26"/>
        <v>51.325480806768731</v>
      </c>
    </row>
    <row r="35" spans="1:48" x14ac:dyDescent="0.25">
      <c r="A35" t="s">
        <v>48</v>
      </c>
      <c r="B35" s="37">
        <v>0.36</v>
      </c>
      <c r="C35">
        <v>0</v>
      </c>
      <c r="E35" t="s">
        <v>48</v>
      </c>
      <c r="F35" s="37">
        <v>0.36</v>
      </c>
      <c r="G35">
        <v>4</v>
      </c>
      <c r="I35" t="s">
        <v>48</v>
      </c>
      <c r="J35" s="37">
        <v>0.36</v>
      </c>
      <c r="K35">
        <v>0</v>
      </c>
      <c r="M35" t="s">
        <v>48</v>
      </c>
      <c r="N35" s="37">
        <v>0.36</v>
      </c>
      <c r="Q35" t="s">
        <v>48</v>
      </c>
      <c r="R35" s="37">
        <v>0.36</v>
      </c>
      <c r="U35" s="4">
        <v>12500</v>
      </c>
      <c r="V35" s="7">
        <f t="shared" si="32"/>
        <v>27.875000000000004</v>
      </c>
      <c r="W35" s="7">
        <f t="shared" si="3"/>
        <v>2.1816615649929121</v>
      </c>
      <c r="X35" s="7">
        <f t="shared" si="4"/>
        <v>2.1816615649929121</v>
      </c>
      <c r="Y35" s="7">
        <f t="shared" si="5"/>
        <v>2.4068856639084975</v>
      </c>
      <c r="Z35" s="7">
        <f t="shared" si="6"/>
        <v>2.1816615649929121</v>
      </c>
      <c r="AA35" s="7">
        <f t="shared" si="7"/>
        <v>2.1816615649929121</v>
      </c>
      <c r="AB35" s="8">
        <f t="shared" si="33"/>
        <v>12.776958831417359</v>
      </c>
      <c r="AC35" s="8">
        <f t="shared" si="29"/>
        <v>12.776958831417359</v>
      </c>
      <c r="AD35" s="8">
        <f t="shared" si="10"/>
        <v>11.581356114246949</v>
      </c>
      <c r="AE35" s="8">
        <f t="shared" si="11"/>
        <v>12.776958831417359</v>
      </c>
      <c r="AF35" s="8">
        <f t="shared" si="12"/>
        <v>12.776958831417359</v>
      </c>
      <c r="AG35" s="8">
        <f t="shared" si="13"/>
        <v>0.12674742001532147</v>
      </c>
      <c r="AH35" s="8">
        <f t="shared" si="14"/>
        <v>9.176513209109272</v>
      </c>
      <c r="AI35" s="8">
        <f t="shared" si="15"/>
        <v>1.5828747698478871</v>
      </c>
      <c r="AJ35" s="8">
        <f t="shared" si="16"/>
        <v>0.76048452009192857</v>
      </c>
      <c r="AK35" s="8">
        <f t="shared" si="17"/>
        <v>4.3601112485270574</v>
      </c>
      <c r="AL35" s="8">
        <f t="shared" si="18"/>
        <v>0.31236609237966217</v>
      </c>
      <c r="AM35" s="8">
        <f t="shared" si="19"/>
        <v>2.0944086653808767</v>
      </c>
      <c r="AN35" s="8">
        <f t="shared" si="20"/>
        <v>20.950760689607758</v>
      </c>
      <c r="AO35" s="8">
        <f t="shared" si="21"/>
        <v>3.9270162475891439</v>
      </c>
      <c r="AP35" s="8">
        <f t="shared" si="22"/>
        <v>1.309005415863048</v>
      </c>
      <c r="AQ35" s="8">
        <f t="shared" si="23"/>
        <v>16.006731167591468</v>
      </c>
      <c r="AR35" s="31">
        <f t="shared" si="24"/>
        <v>28.593557110820488</v>
      </c>
      <c r="AS35" s="8">
        <f t="shared" si="0"/>
        <v>20.090000000000146</v>
      </c>
      <c r="AT35" s="8">
        <f t="shared" si="1"/>
        <v>10.059999999999491</v>
      </c>
      <c r="AU35" s="8">
        <f t="shared" si="25"/>
        <v>64.690288278412098</v>
      </c>
      <c r="AV35" s="15">
        <f t="shared" si="26"/>
        <v>54.660288278411443</v>
      </c>
    </row>
    <row r="36" spans="1:48" x14ac:dyDescent="0.25">
      <c r="A36" t="s">
        <v>49</v>
      </c>
      <c r="B36" s="37">
        <v>0.19</v>
      </c>
      <c r="E36" t="s">
        <v>49</v>
      </c>
      <c r="F36" s="37">
        <v>0.19</v>
      </c>
      <c r="I36" t="s">
        <v>49</v>
      </c>
      <c r="J36" s="37">
        <v>0.19</v>
      </c>
      <c r="M36" t="s">
        <v>49</v>
      </c>
      <c r="N36" s="37">
        <v>0.19</v>
      </c>
      <c r="Q36" t="s">
        <v>49</v>
      </c>
      <c r="R36" s="37">
        <v>0.19</v>
      </c>
      <c r="U36" s="4">
        <v>13000</v>
      </c>
      <c r="V36" s="7">
        <f t="shared" si="32"/>
        <v>28.990000000000002</v>
      </c>
      <c r="W36" s="7">
        <f t="shared" si="3"/>
        <v>2.1816615649929121</v>
      </c>
      <c r="X36" s="7">
        <f t="shared" si="4"/>
        <v>2.1816615649929121</v>
      </c>
      <c r="Y36" s="7">
        <f t="shared" si="5"/>
        <v>2.4068856639084975</v>
      </c>
      <c r="Z36" s="7">
        <f t="shared" si="6"/>
        <v>2.1816615649929121</v>
      </c>
      <c r="AA36" s="7">
        <f t="shared" si="7"/>
        <v>2.1816615649929121</v>
      </c>
      <c r="AB36" s="8">
        <f t="shared" si="33"/>
        <v>13.288037184674051</v>
      </c>
      <c r="AC36" s="8">
        <f t="shared" si="29"/>
        <v>13.288037184674051</v>
      </c>
      <c r="AD36" s="8">
        <f t="shared" si="10"/>
        <v>12.044610358816826</v>
      </c>
      <c r="AE36" s="8">
        <f t="shared" si="11"/>
        <v>13.288037184674051</v>
      </c>
      <c r="AF36" s="8">
        <f t="shared" si="12"/>
        <v>13.288037184674051</v>
      </c>
      <c r="AG36" s="8">
        <f t="shared" si="13"/>
        <v>0.13709000948857164</v>
      </c>
      <c r="AH36" s="8">
        <f t="shared" si="14"/>
        <v>9.9253166869725877</v>
      </c>
      <c r="AI36" s="8">
        <f t="shared" si="15"/>
        <v>1.7120373510674745</v>
      </c>
      <c r="AJ36" s="8">
        <f t="shared" si="16"/>
        <v>0.82254005693142984</v>
      </c>
      <c r="AK36" s="8">
        <f t="shared" si="17"/>
        <v>4.715896326406865</v>
      </c>
      <c r="AL36" s="8">
        <f t="shared" si="18"/>
        <v>0.33587336273261886</v>
      </c>
      <c r="AM36" s="8">
        <f t="shared" si="19"/>
        <v>2.2520244627666015</v>
      </c>
      <c r="AN36" s="8">
        <f t="shared" si="20"/>
        <v>22.527420921449064</v>
      </c>
      <c r="AO36" s="8">
        <f t="shared" si="21"/>
        <v>4.2225458676873782</v>
      </c>
      <c r="AP36" s="8">
        <f t="shared" si="22"/>
        <v>1.4075152892291261</v>
      </c>
      <c r="AQ36" s="8">
        <f t="shared" si="23"/>
        <v>17.31288043086693</v>
      </c>
      <c r="AR36" s="31">
        <f t="shared" si="24"/>
        <v>30.745379903864787</v>
      </c>
      <c r="AS36" s="8">
        <f t="shared" si="0"/>
        <v>20.090000000000146</v>
      </c>
      <c r="AT36" s="8">
        <f t="shared" si="1"/>
        <v>10.059999999999491</v>
      </c>
      <c r="AU36" s="8">
        <f t="shared" si="25"/>
        <v>68.148260334731859</v>
      </c>
      <c r="AV36" s="15">
        <f t="shared" si="26"/>
        <v>58.118260334731204</v>
      </c>
    </row>
    <row r="37" spans="1:48" x14ac:dyDescent="0.25">
      <c r="A37" t="s">
        <v>50</v>
      </c>
      <c r="B37" s="37">
        <v>0.19</v>
      </c>
      <c r="E37" t="s">
        <v>50</v>
      </c>
      <c r="F37" s="37">
        <v>0.19</v>
      </c>
      <c r="G37">
        <v>2</v>
      </c>
      <c r="I37" t="s">
        <v>50</v>
      </c>
      <c r="J37" s="37">
        <v>0.19</v>
      </c>
      <c r="K37">
        <v>4</v>
      </c>
      <c r="M37" t="s">
        <v>50</v>
      </c>
      <c r="N37" s="37">
        <v>0.19</v>
      </c>
      <c r="Q37" t="s">
        <v>50</v>
      </c>
      <c r="R37" s="37">
        <v>0.19</v>
      </c>
      <c r="U37" s="4">
        <v>13500</v>
      </c>
      <c r="V37" s="7">
        <f t="shared" ref="V37:V50" si="34">U37*0.00223</f>
        <v>30.105000000000004</v>
      </c>
      <c r="W37" s="7">
        <f t="shared" si="3"/>
        <v>2.1816615649929121</v>
      </c>
      <c r="X37" s="7">
        <f t="shared" si="4"/>
        <v>2.1816615649929121</v>
      </c>
      <c r="Y37" s="7">
        <f t="shared" si="5"/>
        <v>2.4068856639084975</v>
      </c>
      <c r="Z37" s="7">
        <f t="shared" si="6"/>
        <v>2.1816615649929121</v>
      </c>
      <c r="AA37" s="7">
        <f t="shared" si="7"/>
        <v>2.1816615649929121</v>
      </c>
      <c r="AB37" s="8">
        <f t="shared" ref="AB37:AB50" si="35">V37/W37</f>
        <v>13.799115537930748</v>
      </c>
      <c r="AC37" s="8">
        <f t="shared" ref="AC37:AC50" si="36">V37/X37</f>
        <v>13.799115537930748</v>
      </c>
      <c r="AD37" s="8">
        <f t="shared" si="10"/>
        <v>12.507864603386706</v>
      </c>
      <c r="AE37" s="8">
        <f t="shared" si="11"/>
        <v>13.799115537930748</v>
      </c>
      <c r="AF37" s="8">
        <f t="shared" si="12"/>
        <v>13.799115537930748</v>
      </c>
      <c r="AG37" s="8">
        <f t="shared" si="13"/>
        <v>0.14783819070587095</v>
      </c>
      <c r="AH37" s="8">
        <f t="shared" si="14"/>
        <v>10.703485007105057</v>
      </c>
      <c r="AI37" s="8">
        <f t="shared" si="15"/>
        <v>1.8462651315505758</v>
      </c>
      <c r="AJ37" s="8">
        <f t="shared" si="16"/>
        <v>0.88702914423522561</v>
      </c>
      <c r="AK37" s="8">
        <f t="shared" si="17"/>
        <v>5.0856337602819597</v>
      </c>
      <c r="AL37" s="8">
        <f t="shared" si="18"/>
        <v>0.36016195275699608</v>
      </c>
      <c r="AM37" s="8">
        <f t="shared" si="19"/>
        <v>2.4148789935813917</v>
      </c>
      <c r="AN37" s="8">
        <f t="shared" si="20"/>
        <v>24.156485181311989</v>
      </c>
      <c r="AO37" s="8">
        <f t="shared" si="21"/>
        <v>4.5278981129651097</v>
      </c>
      <c r="AP37" s="8">
        <f t="shared" si="22"/>
        <v>1.5092993709883697</v>
      </c>
      <c r="AQ37" s="8">
        <f t="shared" si="23"/>
        <v>18.670251233878687</v>
      </c>
      <c r="AR37" s="31">
        <f t="shared" si="24"/>
        <v>32.968723611603863</v>
      </c>
      <c r="AS37" s="8">
        <f t="shared" si="0"/>
        <v>20.090000000000146</v>
      </c>
      <c r="AT37" s="8">
        <f t="shared" si="1"/>
        <v>10.059999999999491</v>
      </c>
      <c r="AU37" s="8">
        <f t="shared" si="25"/>
        <v>71.728974845482696</v>
      </c>
      <c r="AV37" s="15">
        <f t="shared" si="26"/>
        <v>61.698974845482041</v>
      </c>
    </row>
    <row r="38" spans="1:48" x14ac:dyDescent="0.25">
      <c r="A38" t="s">
        <v>51</v>
      </c>
      <c r="B38" s="37">
        <v>0.1</v>
      </c>
      <c r="E38" t="s">
        <v>51</v>
      </c>
      <c r="F38" s="37">
        <v>0.1</v>
      </c>
      <c r="I38" t="s">
        <v>51</v>
      </c>
      <c r="J38" s="37">
        <v>0.1</v>
      </c>
      <c r="M38" t="s">
        <v>51</v>
      </c>
      <c r="N38" s="37">
        <v>0.1</v>
      </c>
      <c r="Q38" t="s">
        <v>51</v>
      </c>
      <c r="R38" s="37">
        <v>0.1</v>
      </c>
      <c r="U38" s="4">
        <v>14000</v>
      </c>
      <c r="V38" s="7">
        <f t="shared" si="34"/>
        <v>31.220000000000002</v>
      </c>
      <c r="W38" s="7">
        <f t="shared" si="3"/>
        <v>2.1816615649929121</v>
      </c>
      <c r="X38" s="7">
        <f t="shared" si="4"/>
        <v>2.1816615649929121</v>
      </c>
      <c r="Y38" s="7">
        <f t="shared" si="5"/>
        <v>2.4068856639084975</v>
      </c>
      <c r="Z38" s="7">
        <f t="shared" si="6"/>
        <v>2.1816615649929121</v>
      </c>
      <c r="AA38" s="7">
        <f t="shared" si="7"/>
        <v>2.1816615649929121</v>
      </c>
      <c r="AB38" s="8">
        <f t="shared" si="35"/>
        <v>14.31019389118744</v>
      </c>
      <c r="AC38" s="8">
        <f t="shared" si="36"/>
        <v>14.31019389118744</v>
      </c>
      <c r="AD38" s="8">
        <f t="shared" si="10"/>
        <v>12.971118847956582</v>
      </c>
      <c r="AE38" s="8">
        <f t="shared" si="11"/>
        <v>14.31019389118744</v>
      </c>
      <c r="AF38" s="8">
        <f t="shared" si="12"/>
        <v>14.31019389118744</v>
      </c>
      <c r="AG38" s="8">
        <f t="shared" si="13"/>
        <v>0.15899196366721918</v>
      </c>
      <c r="AH38" s="8">
        <f t="shared" si="14"/>
        <v>11.51101816950667</v>
      </c>
      <c r="AI38" s="8">
        <f t="shared" si="15"/>
        <v>1.9855581112971896</v>
      </c>
      <c r="AJ38" s="8">
        <f t="shared" si="16"/>
        <v>0.9539517820033151</v>
      </c>
      <c r="AK38" s="8">
        <f t="shared" si="17"/>
        <v>5.4693235501523398</v>
      </c>
      <c r="AL38" s="8">
        <f t="shared" si="18"/>
        <v>0.38522745065791925</v>
      </c>
      <c r="AM38" s="8">
        <f t="shared" si="19"/>
        <v>2.5829426768251289</v>
      </c>
      <c r="AN38" s="8">
        <f t="shared" si="20"/>
        <v>25.837657564932385</v>
      </c>
      <c r="AO38" s="8">
        <f t="shared" si="21"/>
        <v>4.843017519047117</v>
      </c>
      <c r="AP38" s="8">
        <f t="shared" si="22"/>
        <v>1.6143391730157057</v>
      </c>
      <c r="AQ38" s="8">
        <f t="shared" si="23"/>
        <v>20.078843576626735</v>
      </c>
      <c r="AR38" s="31">
        <f t="shared" si="24"/>
        <v>35.263184384478258</v>
      </c>
      <c r="AS38" s="8">
        <f t="shared" si="0"/>
        <v>20.090000000000146</v>
      </c>
      <c r="AT38" s="8">
        <f t="shared" si="1"/>
        <v>10.059999999999491</v>
      </c>
      <c r="AU38" s="8">
        <f t="shared" si="25"/>
        <v>75.432027961105135</v>
      </c>
      <c r="AV38" s="15">
        <f t="shared" si="26"/>
        <v>65.40202796110448</v>
      </c>
    </row>
    <row r="39" spans="1:48" x14ac:dyDescent="0.25">
      <c r="A39" t="s">
        <v>52</v>
      </c>
      <c r="B39" s="37">
        <v>0.24</v>
      </c>
      <c r="E39" t="s">
        <v>52</v>
      </c>
      <c r="F39" s="37">
        <v>0.24</v>
      </c>
      <c r="I39" t="s">
        <v>52</v>
      </c>
      <c r="J39" s="37">
        <v>0.24</v>
      </c>
      <c r="M39" t="s">
        <v>52</v>
      </c>
      <c r="N39" s="37">
        <v>0.24</v>
      </c>
      <c r="Q39" t="s">
        <v>52</v>
      </c>
      <c r="R39" s="37">
        <v>0.24</v>
      </c>
      <c r="U39" s="4">
        <v>14500</v>
      </c>
      <c r="V39" s="7">
        <f t="shared" si="34"/>
        <v>32.335000000000001</v>
      </c>
      <c r="W39" s="7">
        <f t="shared" si="3"/>
        <v>2.1816615649929121</v>
      </c>
      <c r="X39" s="7">
        <f t="shared" si="4"/>
        <v>2.1816615649929121</v>
      </c>
      <c r="Y39" s="7">
        <f t="shared" si="5"/>
        <v>2.4068856639084975</v>
      </c>
      <c r="Z39" s="7">
        <f t="shared" si="6"/>
        <v>2.1816615649929121</v>
      </c>
      <c r="AA39" s="7">
        <f t="shared" si="7"/>
        <v>2.1816615649929121</v>
      </c>
      <c r="AB39" s="8">
        <f t="shared" si="35"/>
        <v>14.821272244444135</v>
      </c>
      <c r="AC39" s="8">
        <f t="shared" si="36"/>
        <v>14.821272244444135</v>
      </c>
      <c r="AD39" s="8">
        <f t="shared" si="10"/>
        <v>13.434373092526458</v>
      </c>
      <c r="AE39" s="8">
        <f t="shared" si="11"/>
        <v>14.821272244444135</v>
      </c>
      <c r="AF39" s="8">
        <f t="shared" si="12"/>
        <v>14.821272244444135</v>
      </c>
      <c r="AG39" s="8">
        <f t="shared" si="13"/>
        <v>0.17055132837261652</v>
      </c>
      <c r="AH39" s="8">
        <f t="shared" si="14"/>
        <v>12.347916174177435</v>
      </c>
      <c r="AI39" s="8">
        <f t="shared" si="15"/>
        <v>2.1299162903073161</v>
      </c>
      <c r="AJ39" s="8">
        <f t="shared" si="16"/>
        <v>1.0233079702356989</v>
      </c>
      <c r="AK39" s="8">
        <f t="shared" si="17"/>
        <v>5.8669656960180072</v>
      </c>
      <c r="AL39" s="8">
        <f t="shared" si="18"/>
        <v>0.41106562875837394</v>
      </c>
      <c r="AM39" s="8">
        <f t="shared" si="19"/>
        <v>2.7561871660044228</v>
      </c>
      <c r="AN39" s="8">
        <f t="shared" si="20"/>
        <v>27.570654517047583</v>
      </c>
      <c r="AO39" s="8">
        <f t="shared" si="21"/>
        <v>5.1678509362582936</v>
      </c>
      <c r="AP39" s="8">
        <f t="shared" si="22"/>
        <v>1.7226169787527643</v>
      </c>
      <c r="AQ39" s="8">
        <f t="shared" si="23"/>
        <v>21.538657459111072</v>
      </c>
      <c r="AR39" s="31">
        <f t="shared" si="24"/>
        <v>37.628375226821433</v>
      </c>
      <c r="AS39" s="8">
        <f t="shared" si="0"/>
        <v>20.090000000000146</v>
      </c>
      <c r="AT39" s="8">
        <f t="shared" si="1"/>
        <v>10.059999999999491</v>
      </c>
      <c r="AU39" s="8">
        <f t="shared" si="25"/>
        <v>79.257032685932643</v>
      </c>
      <c r="AV39" s="15">
        <f t="shared" si="26"/>
        <v>69.227032685931988</v>
      </c>
    </row>
    <row r="40" spans="1:48" x14ac:dyDescent="0.25">
      <c r="A40" t="s">
        <v>53</v>
      </c>
      <c r="B40" s="37">
        <v>0.72</v>
      </c>
      <c r="C40">
        <v>0</v>
      </c>
      <c r="E40" t="s">
        <v>53</v>
      </c>
      <c r="F40" s="37">
        <v>0.72</v>
      </c>
      <c r="G40">
        <v>0</v>
      </c>
      <c r="I40" t="s">
        <v>53</v>
      </c>
      <c r="J40" s="37">
        <v>0.72</v>
      </c>
      <c r="K40">
        <v>0</v>
      </c>
      <c r="M40" t="s">
        <v>53</v>
      </c>
      <c r="N40" s="37">
        <v>0.72</v>
      </c>
      <c r="O40">
        <v>0</v>
      </c>
      <c r="Q40" t="s">
        <v>53</v>
      </c>
      <c r="R40" s="37">
        <v>0.72</v>
      </c>
      <c r="S40">
        <v>1</v>
      </c>
      <c r="U40" s="4">
        <v>15000</v>
      </c>
      <c r="V40" s="7">
        <f t="shared" si="34"/>
        <v>33.450000000000003</v>
      </c>
      <c r="W40" s="7">
        <f t="shared" si="3"/>
        <v>2.1816615649929121</v>
      </c>
      <c r="X40" s="7">
        <f t="shared" si="4"/>
        <v>2.1816615649929121</v>
      </c>
      <c r="Y40" s="7">
        <f t="shared" si="5"/>
        <v>2.4068856639084975</v>
      </c>
      <c r="Z40" s="7">
        <f t="shared" si="6"/>
        <v>2.1816615649929121</v>
      </c>
      <c r="AA40" s="7">
        <f t="shared" si="7"/>
        <v>2.1816615649929121</v>
      </c>
      <c r="AB40" s="8">
        <f t="shared" si="35"/>
        <v>15.332350597700829</v>
      </c>
      <c r="AC40" s="8">
        <f t="shared" si="36"/>
        <v>15.332350597700829</v>
      </c>
      <c r="AD40" s="8">
        <f t="shared" si="10"/>
        <v>13.897627337096338</v>
      </c>
      <c r="AE40" s="8">
        <f t="shared" si="11"/>
        <v>15.332350597700829</v>
      </c>
      <c r="AF40" s="8">
        <f t="shared" si="12"/>
        <v>15.332350597700829</v>
      </c>
      <c r="AG40" s="8">
        <f t="shared" si="13"/>
        <v>0.18251628482206286</v>
      </c>
      <c r="AH40" s="8">
        <f t="shared" si="14"/>
        <v>13.214179021117351</v>
      </c>
      <c r="AI40" s="8">
        <f t="shared" si="15"/>
        <v>2.2793396685809575</v>
      </c>
      <c r="AJ40" s="8">
        <f t="shared" si="16"/>
        <v>1.095097708932377</v>
      </c>
      <c r="AK40" s="8">
        <f t="shared" si="17"/>
        <v>6.2785601978789627</v>
      </c>
      <c r="AL40" s="8">
        <f t="shared" si="18"/>
        <v>0.4376724296328528</v>
      </c>
      <c r="AM40" s="8">
        <f t="shared" si="19"/>
        <v>2.9345852561589747</v>
      </c>
      <c r="AN40" s="8">
        <f t="shared" si="20"/>
        <v>29.355203901363268</v>
      </c>
      <c r="AO40" s="8">
        <f t="shared" si="21"/>
        <v>5.5023473552980784</v>
      </c>
      <c r="AP40" s="8">
        <f t="shared" si="22"/>
        <v>1.8341157850993595</v>
      </c>
      <c r="AQ40" s="8">
        <f t="shared" si="23"/>
        <v>23.049692881331712</v>
      </c>
      <c r="AR40" s="31">
        <f t="shared" si="24"/>
        <v>40.063924727552532</v>
      </c>
      <c r="AS40" s="8">
        <f t="shared" si="0"/>
        <v>20.090000000000146</v>
      </c>
      <c r="AT40" s="8">
        <f t="shared" si="1"/>
        <v>10.059999999999491</v>
      </c>
      <c r="AU40" s="8">
        <f t="shared" si="25"/>
        <v>83.203617608884386</v>
      </c>
      <c r="AV40" s="15">
        <f t="shared" si="26"/>
        <v>73.173617608883731</v>
      </c>
    </row>
    <row r="41" spans="1:48" x14ac:dyDescent="0.25">
      <c r="A41" t="s">
        <v>54</v>
      </c>
      <c r="B41" s="37">
        <v>0.04</v>
      </c>
      <c r="E41" t="s">
        <v>54</v>
      </c>
      <c r="F41" s="37">
        <v>0.04</v>
      </c>
      <c r="I41" t="s">
        <v>54</v>
      </c>
      <c r="J41" s="37">
        <v>0.04</v>
      </c>
      <c r="M41" t="s">
        <v>54</v>
      </c>
      <c r="N41" s="37">
        <v>0.04</v>
      </c>
      <c r="Q41" t="s">
        <v>54</v>
      </c>
      <c r="R41" s="37">
        <v>0.04</v>
      </c>
      <c r="U41" s="4">
        <v>15500</v>
      </c>
      <c r="V41" s="7">
        <f t="shared" si="34"/>
        <v>34.565000000000005</v>
      </c>
      <c r="W41" s="7">
        <f t="shared" si="3"/>
        <v>2.1816615649929121</v>
      </c>
      <c r="X41" s="7">
        <f t="shared" si="4"/>
        <v>2.1816615649929121</v>
      </c>
      <c r="Y41" s="7">
        <f t="shared" si="5"/>
        <v>2.4068856639084975</v>
      </c>
      <c r="Z41" s="7">
        <f t="shared" si="6"/>
        <v>2.1816615649929121</v>
      </c>
      <c r="AA41" s="7">
        <f t="shared" si="7"/>
        <v>2.1816615649929121</v>
      </c>
      <c r="AB41" s="8">
        <f t="shared" si="35"/>
        <v>15.843428950957525</v>
      </c>
      <c r="AC41" s="8">
        <f t="shared" si="36"/>
        <v>15.843428950957525</v>
      </c>
      <c r="AD41" s="8">
        <f t="shared" si="10"/>
        <v>14.360881581666217</v>
      </c>
      <c r="AE41" s="8">
        <f t="shared" si="11"/>
        <v>15.843428950957525</v>
      </c>
      <c r="AF41" s="8">
        <f t="shared" si="12"/>
        <v>15.843428950957525</v>
      </c>
      <c r="AG41" s="8">
        <f t="shared" si="13"/>
        <v>0.19488683301555829</v>
      </c>
      <c r="AH41" s="8">
        <f t="shared" si="14"/>
        <v>14.109806710326421</v>
      </c>
      <c r="AI41" s="8">
        <f t="shared" si="15"/>
        <v>2.4338282461181113</v>
      </c>
      <c r="AJ41" s="8">
        <f t="shared" si="16"/>
        <v>1.1693209980933497</v>
      </c>
      <c r="AK41" s="8">
        <f t="shared" si="17"/>
        <v>6.7041070557352045</v>
      </c>
      <c r="AL41" s="8">
        <f t="shared" si="18"/>
        <v>0.4650439537196373</v>
      </c>
      <c r="AM41" s="8">
        <f t="shared" si="19"/>
        <v>3.1181108008021661</v>
      </c>
      <c r="AN41" s="8">
        <f t="shared" si="20"/>
        <v>31.191044169695239</v>
      </c>
      <c r="AO41" s="8">
        <f t="shared" si="21"/>
        <v>5.8464577515040617</v>
      </c>
      <c r="AP41" s="8">
        <f t="shared" si="22"/>
        <v>1.9488192505013537</v>
      </c>
      <c r="AQ41" s="8">
        <f t="shared" si="23"/>
        <v>24.611949843288645</v>
      </c>
      <c r="AR41" s="31">
        <f t="shared" si="24"/>
        <v>42.569475926222452</v>
      </c>
      <c r="AS41" s="8">
        <f t="shared" si="0"/>
        <v>20.090000000000146</v>
      </c>
      <c r="AT41" s="8">
        <f t="shared" si="1"/>
        <v>10.059999999999491</v>
      </c>
      <c r="AU41" s="8">
        <f t="shared" si="25"/>
        <v>87.271425769511239</v>
      </c>
      <c r="AV41" s="15">
        <f t="shared" si="26"/>
        <v>77.241425769510585</v>
      </c>
    </row>
    <row r="42" spans="1:48" x14ac:dyDescent="0.25">
      <c r="A42" t="s">
        <v>55</v>
      </c>
      <c r="B42" s="37">
        <v>0.04</v>
      </c>
      <c r="E42" t="s">
        <v>55</v>
      </c>
      <c r="F42" s="37">
        <v>0.04</v>
      </c>
      <c r="I42" t="s">
        <v>55</v>
      </c>
      <c r="J42" s="37">
        <v>0.04</v>
      </c>
      <c r="M42" t="s">
        <v>55</v>
      </c>
      <c r="N42" s="37">
        <v>0.04</v>
      </c>
      <c r="Q42" t="s">
        <v>55</v>
      </c>
      <c r="R42" s="37">
        <v>0.04</v>
      </c>
      <c r="U42" s="4">
        <v>16000</v>
      </c>
      <c r="V42" s="7">
        <f t="shared" si="34"/>
        <v>35.680000000000007</v>
      </c>
      <c r="W42" s="7">
        <f t="shared" si="3"/>
        <v>2.1816615649929121</v>
      </c>
      <c r="X42" s="7">
        <f t="shared" si="4"/>
        <v>2.1816615649929121</v>
      </c>
      <c r="Y42" s="7">
        <f t="shared" si="5"/>
        <v>2.4068856639084975</v>
      </c>
      <c r="Z42" s="7">
        <f t="shared" si="6"/>
        <v>2.1816615649929121</v>
      </c>
      <c r="AA42" s="7">
        <f t="shared" si="7"/>
        <v>2.1816615649929121</v>
      </c>
      <c r="AB42" s="8">
        <f t="shared" si="35"/>
        <v>16.35450730421422</v>
      </c>
      <c r="AC42" s="8">
        <f t="shared" si="36"/>
        <v>16.35450730421422</v>
      </c>
      <c r="AD42" s="8">
        <f t="shared" si="10"/>
        <v>14.824135826236095</v>
      </c>
      <c r="AE42" s="8">
        <f t="shared" si="11"/>
        <v>16.35450730421422</v>
      </c>
      <c r="AF42" s="8">
        <f t="shared" si="12"/>
        <v>16.35450730421422</v>
      </c>
      <c r="AG42" s="8">
        <f t="shared" si="13"/>
        <v>0.20766297295310271</v>
      </c>
      <c r="AH42" s="8">
        <f t="shared" si="14"/>
        <v>15.034799241804636</v>
      </c>
      <c r="AI42" s="8">
        <f t="shared" si="15"/>
        <v>2.5933820229187785</v>
      </c>
      <c r="AJ42" s="8">
        <f t="shared" si="16"/>
        <v>1.2459778377186161</v>
      </c>
      <c r="AK42" s="8">
        <f t="shared" si="17"/>
        <v>7.1436062695867326</v>
      </c>
      <c r="AL42" s="8">
        <f t="shared" si="18"/>
        <v>0.49317644821077355</v>
      </c>
      <c r="AM42" s="8">
        <f t="shared" si="19"/>
        <v>3.3067386374285581</v>
      </c>
      <c r="AN42" s="8">
        <f t="shared" si="20"/>
        <v>33.077923616806004</v>
      </c>
      <c r="AO42" s="8">
        <f t="shared" si="21"/>
        <v>6.2001349451785472</v>
      </c>
      <c r="AP42" s="8">
        <f t="shared" si="22"/>
        <v>2.0667116483928489</v>
      </c>
      <c r="AQ42" s="8">
        <f t="shared" si="23"/>
        <v>26.225428344981868</v>
      </c>
      <c r="AR42" s="31">
        <f t="shared" si="24"/>
        <v>45.144685296016732</v>
      </c>
      <c r="AS42" s="8">
        <f t="shared" si="0"/>
        <v>20.090000000000146</v>
      </c>
      <c r="AT42" s="8">
        <f t="shared" si="1"/>
        <v>10.059999999999491</v>
      </c>
      <c r="AU42" s="8">
        <f t="shared" si="25"/>
        <v>91.460113640998742</v>
      </c>
      <c r="AV42" s="15">
        <f t="shared" si="26"/>
        <v>81.430113640998087</v>
      </c>
    </row>
    <row r="43" spans="1:48" x14ac:dyDescent="0.25">
      <c r="A43" t="s">
        <v>78</v>
      </c>
      <c r="B43" s="37">
        <v>0.3</v>
      </c>
      <c r="C43">
        <v>0</v>
      </c>
      <c r="E43" t="s">
        <v>78</v>
      </c>
      <c r="F43" s="37">
        <v>0.3</v>
      </c>
      <c r="G43">
        <v>2</v>
      </c>
      <c r="I43" t="s">
        <v>78</v>
      </c>
      <c r="J43" s="37">
        <v>0.3</v>
      </c>
      <c r="M43" t="s">
        <v>78</v>
      </c>
      <c r="N43" s="37">
        <v>0.3</v>
      </c>
      <c r="O43">
        <v>1</v>
      </c>
      <c r="Q43" t="s">
        <v>78</v>
      </c>
      <c r="R43" s="37">
        <v>0.3</v>
      </c>
      <c r="S43">
        <v>0</v>
      </c>
      <c r="U43" s="4">
        <v>16500</v>
      </c>
      <c r="V43" s="7">
        <f t="shared" si="34"/>
        <v>36.795000000000002</v>
      </c>
      <c r="W43" s="7">
        <f t="shared" si="3"/>
        <v>2.1816615649929121</v>
      </c>
      <c r="X43" s="7">
        <f t="shared" si="4"/>
        <v>2.1816615649929121</v>
      </c>
      <c r="Y43" s="7">
        <f t="shared" si="5"/>
        <v>2.4068856639084975</v>
      </c>
      <c r="Z43" s="7">
        <f t="shared" si="6"/>
        <v>2.1816615649929121</v>
      </c>
      <c r="AA43" s="7">
        <f t="shared" si="7"/>
        <v>2.1816615649929121</v>
      </c>
      <c r="AB43" s="8">
        <f t="shared" si="35"/>
        <v>16.865585657470913</v>
      </c>
      <c r="AC43" s="8">
        <f t="shared" si="36"/>
        <v>16.865585657470913</v>
      </c>
      <c r="AD43" s="8">
        <f t="shared" si="10"/>
        <v>15.287390070805971</v>
      </c>
      <c r="AE43" s="8">
        <f t="shared" si="11"/>
        <v>16.865585657470913</v>
      </c>
      <c r="AF43" s="8">
        <f t="shared" si="12"/>
        <v>16.865585657470913</v>
      </c>
      <c r="AG43" s="8">
        <f t="shared" si="13"/>
        <v>0.22084470463469608</v>
      </c>
      <c r="AH43" s="8">
        <f t="shared" si="14"/>
        <v>15.989156615551995</v>
      </c>
      <c r="AI43" s="8">
        <f t="shared" si="15"/>
        <v>2.7580009989829581</v>
      </c>
      <c r="AJ43" s="8">
        <f t="shared" si="16"/>
        <v>1.3250682278081765</v>
      </c>
      <c r="AK43" s="8">
        <f t="shared" si="17"/>
        <v>7.5970578394335444</v>
      </c>
      <c r="AL43" s="8">
        <f t="shared" si="18"/>
        <v>0.52206629705154617</v>
      </c>
      <c r="AM43" s="8">
        <f t="shared" si="19"/>
        <v>3.500444520460559</v>
      </c>
      <c r="AN43" s="8">
        <f t="shared" si="20"/>
        <v>35.015599709658964</v>
      </c>
      <c r="AO43" s="8">
        <f t="shared" si="21"/>
        <v>6.5633334758635486</v>
      </c>
      <c r="AP43" s="8">
        <f t="shared" si="22"/>
        <v>2.1877778252878493</v>
      </c>
      <c r="AQ43" s="8">
        <f t="shared" si="23"/>
        <v>27.890128386411369</v>
      </c>
      <c r="AR43" s="31">
        <f t="shared" si="24"/>
        <v>47.789221828322468</v>
      </c>
      <c r="AS43" s="8">
        <f t="shared" si="0"/>
        <v>20.090000000000146</v>
      </c>
      <c r="AT43" s="8">
        <f t="shared" si="1"/>
        <v>10.059999999999491</v>
      </c>
      <c r="AU43" s="8">
        <f t="shared" si="25"/>
        <v>95.769350214733976</v>
      </c>
      <c r="AV43" s="15">
        <f t="shared" si="26"/>
        <v>85.739350214733321</v>
      </c>
    </row>
    <row r="44" spans="1:48" x14ac:dyDescent="0.25">
      <c r="A44" t="s">
        <v>56</v>
      </c>
      <c r="B44" s="37">
        <v>0.1</v>
      </c>
      <c r="E44" t="s">
        <v>56</v>
      </c>
      <c r="F44" s="37">
        <v>0.1</v>
      </c>
      <c r="I44" t="s">
        <v>56</v>
      </c>
      <c r="J44" s="37">
        <v>0.1</v>
      </c>
      <c r="M44" t="s">
        <v>56</v>
      </c>
      <c r="N44" s="37">
        <v>0.1</v>
      </c>
      <c r="Q44" t="s">
        <v>56</v>
      </c>
      <c r="R44" s="37">
        <v>0.1</v>
      </c>
      <c r="U44" s="4">
        <v>17000</v>
      </c>
      <c r="V44" s="7">
        <f t="shared" si="34"/>
        <v>37.910000000000004</v>
      </c>
      <c r="W44" s="7">
        <f t="shared" si="3"/>
        <v>2.1816615649929121</v>
      </c>
      <c r="X44" s="7">
        <f t="shared" si="4"/>
        <v>2.1816615649929121</v>
      </c>
      <c r="Y44" s="7">
        <f t="shared" si="5"/>
        <v>2.4068856639084975</v>
      </c>
      <c r="Z44" s="7">
        <f t="shared" si="6"/>
        <v>2.1816615649929121</v>
      </c>
      <c r="AA44" s="7">
        <f t="shared" si="7"/>
        <v>2.1816615649929121</v>
      </c>
      <c r="AB44" s="8">
        <f t="shared" si="35"/>
        <v>17.376664010727605</v>
      </c>
      <c r="AC44" s="8">
        <f t="shared" si="36"/>
        <v>17.376664010727605</v>
      </c>
      <c r="AD44" s="8">
        <f t="shared" si="10"/>
        <v>15.750644315375849</v>
      </c>
      <c r="AE44" s="8">
        <f t="shared" si="11"/>
        <v>17.376664010727605</v>
      </c>
      <c r="AF44" s="8">
        <f t="shared" si="12"/>
        <v>17.376664010727605</v>
      </c>
      <c r="AG44" s="8">
        <f t="shared" si="13"/>
        <v>0.23443202806033847</v>
      </c>
      <c r="AH44" s="8">
        <f t="shared" si="14"/>
        <v>16.972878831568504</v>
      </c>
      <c r="AI44" s="8">
        <f t="shared" si="15"/>
        <v>2.9276851743106516</v>
      </c>
      <c r="AJ44" s="8">
        <f t="shared" si="16"/>
        <v>1.4065921683620306</v>
      </c>
      <c r="AK44" s="8">
        <f t="shared" si="17"/>
        <v>8.0644617652756434</v>
      </c>
      <c r="AL44" s="8">
        <f t="shared" si="18"/>
        <v>0.55171001190796798</v>
      </c>
      <c r="AM44" s="8">
        <f t="shared" si="19"/>
        <v>3.6992050606856086</v>
      </c>
      <c r="AN44" s="8">
        <f t="shared" si="20"/>
        <v>37.003838481596539</v>
      </c>
      <c r="AO44" s="8">
        <f t="shared" si="21"/>
        <v>6.9360094887855173</v>
      </c>
      <c r="AP44" s="8">
        <f t="shared" si="22"/>
        <v>2.3120031629285056</v>
      </c>
      <c r="AQ44" s="8">
        <f t="shared" si="23"/>
        <v>29.606049967577171</v>
      </c>
      <c r="AR44" s="31">
        <f t="shared" si="24"/>
        <v>50.502766205904138</v>
      </c>
      <c r="AS44" s="8">
        <f t="shared" si="0"/>
        <v>20.090000000000146</v>
      </c>
      <c r="AT44" s="8">
        <f t="shared" si="1"/>
        <v>10.059999999999491</v>
      </c>
      <c r="AU44" s="8">
        <f t="shared" si="25"/>
        <v>100.19881617348145</v>
      </c>
      <c r="AV44" s="15">
        <f t="shared" si="26"/>
        <v>90.168816173480792</v>
      </c>
    </row>
    <row r="45" spans="1:48" x14ac:dyDescent="0.25">
      <c r="A45" t="s">
        <v>57</v>
      </c>
      <c r="B45" s="37">
        <v>0.9</v>
      </c>
      <c r="E45" t="s">
        <v>57</v>
      </c>
      <c r="F45" s="37">
        <v>0.9</v>
      </c>
      <c r="I45" t="s">
        <v>57</v>
      </c>
      <c r="J45" s="37">
        <v>0.9</v>
      </c>
      <c r="M45" t="s">
        <v>57</v>
      </c>
      <c r="N45" s="37">
        <v>0.9</v>
      </c>
      <c r="Q45" t="s">
        <v>57</v>
      </c>
      <c r="R45" s="37">
        <v>0.9</v>
      </c>
      <c r="U45" s="4">
        <v>17500</v>
      </c>
      <c r="V45" s="7">
        <f t="shared" si="34"/>
        <v>39.025000000000006</v>
      </c>
      <c r="W45" s="7">
        <f t="shared" si="3"/>
        <v>2.1816615649929121</v>
      </c>
      <c r="X45" s="7">
        <f t="shared" si="4"/>
        <v>2.1816615649929121</v>
      </c>
      <c r="Y45" s="7">
        <f t="shared" si="5"/>
        <v>2.4068856639084975</v>
      </c>
      <c r="Z45" s="7">
        <f t="shared" si="6"/>
        <v>2.1816615649929121</v>
      </c>
      <c r="AA45" s="7">
        <f t="shared" si="7"/>
        <v>2.1816615649929121</v>
      </c>
      <c r="AB45" s="8">
        <f t="shared" si="35"/>
        <v>17.887742363984302</v>
      </c>
      <c r="AC45" s="8">
        <f t="shared" si="36"/>
        <v>17.887742363984302</v>
      </c>
      <c r="AD45" s="8">
        <f t="shared" si="10"/>
        <v>16.213898559945729</v>
      </c>
      <c r="AE45" s="8">
        <f t="shared" si="11"/>
        <v>17.887742363984302</v>
      </c>
      <c r="AF45" s="8">
        <f t="shared" si="12"/>
        <v>17.887742363984302</v>
      </c>
      <c r="AG45" s="8">
        <f t="shared" si="13"/>
        <v>0.24842494323003003</v>
      </c>
      <c r="AH45" s="8">
        <f t="shared" si="14"/>
        <v>17.985965889854175</v>
      </c>
      <c r="AI45" s="8">
        <f t="shared" si="15"/>
        <v>3.1024345489018592</v>
      </c>
      <c r="AJ45" s="8">
        <f t="shared" si="16"/>
        <v>1.4905496593801801</v>
      </c>
      <c r="AK45" s="8">
        <f t="shared" si="17"/>
        <v>8.5458180471130341</v>
      </c>
      <c r="AL45" s="8">
        <f t="shared" si="18"/>
        <v>0.58210422398246642</v>
      </c>
      <c r="AM45" s="8">
        <f t="shared" si="19"/>
        <v>3.9029976703805218</v>
      </c>
      <c r="AN45" s="8">
        <f t="shared" si="20"/>
        <v>39.042413983408807</v>
      </c>
      <c r="AO45" s="8">
        <f t="shared" si="21"/>
        <v>7.3181206319634793</v>
      </c>
      <c r="AP45" s="8">
        <f t="shared" si="22"/>
        <v>2.4393735439878261</v>
      </c>
      <c r="AQ45" s="8">
        <f t="shared" si="23"/>
        <v>31.373193088479276</v>
      </c>
      <c r="AR45" s="31">
        <f t="shared" si="24"/>
        <v>53.285010053723106</v>
      </c>
      <c r="AS45" s="8">
        <f t="shared" si="0"/>
        <v>20.090000000000146</v>
      </c>
      <c r="AT45" s="8">
        <f t="shared" si="1"/>
        <v>10.059999999999491</v>
      </c>
      <c r="AU45" s="8">
        <f t="shared" si="25"/>
        <v>104.74820314220253</v>
      </c>
      <c r="AV45" s="15">
        <f t="shared" si="26"/>
        <v>94.718203142201872</v>
      </c>
    </row>
    <row r="46" spans="1:48" x14ac:dyDescent="0.25">
      <c r="A46" t="s">
        <v>58</v>
      </c>
      <c r="B46" s="37">
        <v>4.5</v>
      </c>
      <c r="E46" t="s">
        <v>58</v>
      </c>
      <c r="F46" s="37">
        <v>4.5</v>
      </c>
      <c r="I46" t="s">
        <v>58</v>
      </c>
      <c r="J46" s="37">
        <v>4.5</v>
      </c>
      <c r="M46" t="s">
        <v>58</v>
      </c>
      <c r="N46" s="37">
        <v>4.5</v>
      </c>
      <c r="Q46" t="s">
        <v>58</v>
      </c>
      <c r="R46" s="37">
        <v>4.5</v>
      </c>
      <c r="U46" s="4">
        <v>18000</v>
      </c>
      <c r="V46" s="7">
        <f t="shared" si="34"/>
        <v>40.14</v>
      </c>
      <c r="W46" s="7">
        <f t="shared" si="3"/>
        <v>2.1816615649929121</v>
      </c>
      <c r="X46" s="7">
        <f t="shared" si="4"/>
        <v>2.1816615649929121</v>
      </c>
      <c r="Y46" s="7">
        <f t="shared" si="5"/>
        <v>2.4068856639084975</v>
      </c>
      <c r="Z46" s="7">
        <f t="shared" si="6"/>
        <v>2.1816615649929121</v>
      </c>
      <c r="AA46" s="7">
        <f t="shared" si="7"/>
        <v>2.1816615649929121</v>
      </c>
      <c r="AB46" s="8">
        <f t="shared" si="35"/>
        <v>18.398820717240994</v>
      </c>
      <c r="AC46" s="8">
        <f t="shared" si="36"/>
        <v>18.398820717240994</v>
      </c>
      <c r="AD46" s="8">
        <f t="shared" si="10"/>
        <v>16.677152804515604</v>
      </c>
      <c r="AE46" s="8">
        <f t="shared" si="11"/>
        <v>18.398820717240994</v>
      </c>
      <c r="AF46" s="8">
        <f t="shared" si="12"/>
        <v>18.398820717240994</v>
      </c>
      <c r="AG46" s="8">
        <f t="shared" si="13"/>
        <v>0.26282345014377051</v>
      </c>
      <c r="AH46" s="8">
        <f t="shared" si="14"/>
        <v>19.028417790408984</v>
      </c>
      <c r="AI46" s="8">
        <f t="shared" si="15"/>
        <v>3.2822491227565775</v>
      </c>
      <c r="AJ46" s="8">
        <f t="shared" si="16"/>
        <v>1.5769407008626228</v>
      </c>
      <c r="AK46" s="8">
        <f t="shared" si="17"/>
        <v>9.0411266849457057</v>
      </c>
      <c r="AL46" s="8">
        <f t="shared" si="18"/>
        <v>0.61324567657586093</v>
      </c>
      <c r="AM46" s="8">
        <f t="shared" si="19"/>
        <v>4.1118005134396807</v>
      </c>
      <c r="AN46" s="8">
        <f t="shared" si="20"/>
        <v>41.131107784456759</v>
      </c>
      <c r="AO46" s="8">
        <f t="shared" si="21"/>
        <v>7.7096259626994019</v>
      </c>
      <c r="AP46" s="8">
        <f t="shared" si="22"/>
        <v>2.5698753208998006</v>
      </c>
      <c r="AQ46" s="8">
        <f t="shared" si="23"/>
        <v>33.191557749117663</v>
      </c>
      <c r="AR46" s="31">
        <f t="shared" si="24"/>
        <v>56.135655258071495</v>
      </c>
      <c r="AS46" s="8">
        <f t="shared" si="0"/>
        <v>20.090000000000146</v>
      </c>
      <c r="AT46" s="8">
        <f t="shared" si="1"/>
        <v>10.059999999999491</v>
      </c>
      <c r="AU46" s="8">
        <f t="shared" si="25"/>
        <v>109.4172130071893</v>
      </c>
      <c r="AV46" s="15">
        <f t="shared" si="26"/>
        <v>99.387213007188649</v>
      </c>
    </row>
    <row r="47" spans="1:48" x14ac:dyDescent="0.25">
      <c r="A47" t="s">
        <v>59</v>
      </c>
      <c r="B47" s="37">
        <v>24</v>
      </c>
      <c r="E47" t="s">
        <v>59</v>
      </c>
      <c r="F47" s="37">
        <v>24</v>
      </c>
      <c r="I47" t="s">
        <v>59</v>
      </c>
      <c r="J47" s="37">
        <v>24</v>
      </c>
      <c r="M47" t="s">
        <v>59</v>
      </c>
      <c r="N47" s="37">
        <v>24</v>
      </c>
      <c r="Q47" t="s">
        <v>59</v>
      </c>
      <c r="R47" s="37">
        <v>24</v>
      </c>
      <c r="U47" s="4">
        <v>18500</v>
      </c>
      <c r="V47" s="7">
        <f t="shared" si="34"/>
        <v>41.255000000000003</v>
      </c>
      <c r="W47" s="7">
        <f t="shared" si="3"/>
        <v>2.1816615649929121</v>
      </c>
      <c r="X47" s="7">
        <f t="shared" si="4"/>
        <v>2.1816615649929121</v>
      </c>
      <c r="Y47" s="7">
        <f t="shared" si="5"/>
        <v>2.4068856639084975</v>
      </c>
      <c r="Z47" s="7">
        <f t="shared" si="6"/>
        <v>2.1816615649929121</v>
      </c>
      <c r="AA47" s="7">
        <f t="shared" si="7"/>
        <v>2.1816615649929121</v>
      </c>
      <c r="AB47" s="8">
        <f t="shared" si="35"/>
        <v>18.909899070497691</v>
      </c>
      <c r="AC47" s="8">
        <f t="shared" si="36"/>
        <v>18.909899070497691</v>
      </c>
      <c r="AD47" s="8">
        <f t="shared" si="10"/>
        <v>17.140407049085482</v>
      </c>
      <c r="AE47" s="8">
        <f t="shared" si="11"/>
        <v>18.909899070497691</v>
      </c>
      <c r="AF47" s="8">
        <f t="shared" si="12"/>
        <v>18.909899070497691</v>
      </c>
      <c r="AG47" s="8">
        <f t="shared" si="13"/>
        <v>0.27762754880156004</v>
      </c>
      <c r="AH47" s="8">
        <f t="shared" si="14"/>
        <v>20.10023453323295</v>
      </c>
      <c r="AI47" s="8">
        <f t="shared" si="15"/>
        <v>3.4671288958748114</v>
      </c>
      <c r="AJ47" s="8">
        <f t="shared" si="16"/>
        <v>1.6657652928093605</v>
      </c>
      <c r="AK47" s="8">
        <f t="shared" si="17"/>
        <v>9.5503876787736672</v>
      </c>
      <c r="AL47" s="8">
        <f t="shared" si="18"/>
        <v>0.64513121830848608</v>
      </c>
      <c r="AM47" s="8">
        <f t="shared" si="19"/>
        <v>4.3255924599227988</v>
      </c>
      <c r="AN47" s="8">
        <f t="shared" si="20"/>
        <v>43.269708518004876</v>
      </c>
      <c r="AO47" s="8">
        <f t="shared" si="21"/>
        <v>8.1104858623552492</v>
      </c>
      <c r="AP47" s="8">
        <f t="shared" si="22"/>
        <v>2.7034952874517497</v>
      </c>
      <c r="AQ47" s="8">
        <f t="shared" si="23"/>
        <v>35.061143949492347</v>
      </c>
      <c r="AR47" s="31">
        <f t="shared" si="24"/>
        <v>59.054413346043162</v>
      </c>
      <c r="AS47" s="8">
        <f t="shared" si="0"/>
        <v>20.090000000000146</v>
      </c>
      <c r="AT47" s="8">
        <f t="shared" si="1"/>
        <v>10.059999999999491</v>
      </c>
      <c r="AU47" s="8">
        <f t="shared" si="25"/>
        <v>114.20555729553566</v>
      </c>
      <c r="AV47" s="15">
        <f t="shared" si="26"/>
        <v>104.175557295535</v>
      </c>
    </row>
    <row r="48" spans="1:48" x14ac:dyDescent="0.25">
      <c r="A48" t="s">
        <v>60</v>
      </c>
      <c r="B48" s="37">
        <v>0.5</v>
      </c>
      <c r="E48" t="s">
        <v>60</v>
      </c>
      <c r="F48" s="37">
        <v>0.5</v>
      </c>
      <c r="I48" t="s">
        <v>60</v>
      </c>
      <c r="J48" s="37">
        <v>0.5</v>
      </c>
      <c r="M48" t="s">
        <v>60</v>
      </c>
      <c r="N48" s="37">
        <v>0.5</v>
      </c>
      <c r="Q48" t="s">
        <v>60</v>
      </c>
      <c r="R48" s="37">
        <v>0.5</v>
      </c>
      <c r="U48" s="4">
        <v>19000</v>
      </c>
      <c r="V48" s="7">
        <f t="shared" si="34"/>
        <v>42.370000000000005</v>
      </c>
      <c r="W48" s="7">
        <f t="shared" si="3"/>
        <v>2.1816615649929121</v>
      </c>
      <c r="X48" s="7">
        <f t="shared" si="4"/>
        <v>2.1816615649929121</v>
      </c>
      <c r="Y48" s="7">
        <f t="shared" si="5"/>
        <v>2.4068856639084975</v>
      </c>
      <c r="Z48" s="7">
        <f t="shared" si="6"/>
        <v>2.1816615649929121</v>
      </c>
      <c r="AA48" s="7">
        <f t="shared" si="7"/>
        <v>2.1816615649929121</v>
      </c>
      <c r="AB48" s="8">
        <f t="shared" si="35"/>
        <v>19.420977423754383</v>
      </c>
      <c r="AC48" s="8">
        <f t="shared" si="36"/>
        <v>19.420977423754383</v>
      </c>
      <c r="AD48" s="8">
        <f t="shared" si="10"/>
        <v>17.60366129365536</v>
      </c>
      <c r="AE48" s="8">
        <f t="shared" si="11"/>
        <v>19.420977423754383</v>
      </c>
      <c r="AF48" s="8">
        <f t="shared" si="12"/>
        <v>19.420977423754383</v>
      </c>
      <c r="AG48" s="8">
        <f t="shared" si="13"/>
        <v>0.2928372392033986</v>
      </c>
      <c r="AH48" s="8">
        <f t="shared" si="14"/>
        <v>21.201416118326058</v>
      </c>
      <c r="AI48" s="8">
        <f t="shared" si="15"/>
        <v>3.6570738682565578</v>
      </c>
      <c r="AJ48" s="8">
        <f t="shared" si="16"/>
        <v>1.7570234352203917</v>
      </c>
      <c r="AK48" s="8">
        <f t="shared" si="17"/>
        <v>10.073601028596912</v>
      </c>
      <c r="AL48" s="8">
        <f t="shared" si="18"/>
        <v>0.67775779692558191</v>
      </c>
      <c r="AM48" s="8">
        <f t="shared" si="19"/>
        <v>4.5443530445201858</v>
      </c>
      <c r="AN48" s="8">
        <f t="shared" si="20"/>
        <v>45.458011465741706</v>
      </c>
      <c r="AO48" s="8">
        <f t="shared" si="21"/>
        <v>8.5206619584753494</v>
      </c>
      <c r="AP48" s="8">
        <f t="shared" si="22"/>
        <v>2.8402206528251162</v>
      </c>
      <c r="AQ48" s="8">
        <f t="shared" si="23"/>
        <v>36.981951689603321</v>
      </c>
      <c r="AR48" s="31">
        <f t="shared" si="24"/>
        <v>62.041004918487943</v>
      </c>
      <c r="AS48" s="8">
        <f t="shared" si="0"/>
        <v>20.090000000000146</v>
      </c>
      <c r="AT48" s="8">
        <f t="shared" si="1"/>
        <v>10.059999999999491</v>
      </c>
      <c r="AU48" s="8">
        <f t="shared" si="25"/>
        <v>119.11295660809141</v>
      </c>
      <c r="AV48" s="15">
        <f t="shared" si="26"/>
        <v>109.08295660809075</v>
      </c>
    </row>
    <row r="49" spans="1:48" x14ac:dyDescent="0.25">
      <c r="A49" t="s">
        <v>61</v>
      </c>
      <c r="B49" s="37">
        <v>0.75</v>
      </c>
      <c r="E49" t="s">
        <v>61</v>
      </c>
      <c r="F49" s="37">
        <v>0.75</v>
      </c>
      <c r="I49" t="s">
        <v>61</v>
      </c>
      <c r="J49" s="37">
        <v>0.75</v>
      </c>
      <c r="M49" t="s">
        <v>61</v>
      </c>
      <c r="N49" s="37">
        <v>0.75</v>
      </c>
      <c r="Q49" t="s">
        <v>61</v>
      </c>
      <c r="R49" s="37">
        <v>0.75</v>
      </c>
      <c r="U49" s="4">
        <v>19500</v>
      </c>
      <c r="V49" s="7">
        <f t="shared" si="34"/>
        <v>43.485000000000007</v>
      </c>
      <c r="W49" s="7">
        <f t="shared" si="3"/>
        <v>2.1816615649929121</v>
      </c>
      <c r="X49" s="7">
        <f t="shared" si="4"/>
        <v>2.1816615649929121</v>
      </c>
      <c r="Y49" s="7">
        <f t="shared" si="5"/>
        <v>2.4068856639084975</v>
      </c>
      <c r="Z49" s="7">
        <f t="shared" si="6"/>
        <v>2.1816615649929121</v>
      </c>
      <c r="AA49" s="7">
        <f t="shared" si="7"/>
        <v>2.1816615649929121</v>
      </c>
      <c r="AB49" s="8">
        <f t="shared" si="35"/>
        <v>19.93205577701108</v>
      </c>
      <c r="AC49" s="8">
        <f t="shared" si="36"/>
        <v>19.93205577701108</v>
      </c>
      <c r="AD49" s="8">
        <f t="shared" si="10"/>
        <v>18.066915538225242</v>
      </c>
      <c r="AE49" s="8">
        <f t="shared" si="11"/>
        <v>19.93205577701108</v>
      </c>
      <c r="AF49" s="8">
        <f t="shared" si="12"/>
        <v>19.93205577701108</v>
      </c>
      <c r="AG49" s="8">
        <f t="shared" si="13"/>
        <v>0.30845252134928625</v>
      </c>
      <c r="AH49" s="8">
        <f t="shared" si="14"/>
        <v>22.331962545688327</v>
      </c>
      <c r="AI49" s="8">
        <f t="shared" si="15"/>
        <v>3.8520840399018192</v>
      </c>
      <c r="AJ49" s="8">
        <f t="shared" si="16"/>
        <v>1.8507151280957175</v>
      </c>
      <c r="AK49" s="8">
        <f t="shared" si="17"/>
        <v>10.610766734415447</v>
      </c>
      <c r="AL49" s="8">
        <f t="shared" si="18"/>
        <v>0.71112245362238058</v>
      </c>
      <c r="AM49" s="8">
        <f t="shared" si="19"/>
        <v>4.7680624285025512</v>
      </c>
      <c r="AN49" s="8">
        <f t="shared" si="20"/>
        <v>47.69581817715634</v>
      </c>
      <c r="AO49" s="8">
        <f t="shared" si="21"/>
        <v>8.940117053442286</v>
      </c>
      <c r="AP49" s="8">
        <f t="shared" si="22"/>
        <v>2.9800390178140947</v>
      </c>
      <c r="AQ49" s="8">
        <f t="shared" si="23"/>
        <v>38.953980969450598</v>
      </c>
      <c r="AR49" s="31">
        <f t="shared" si="24"/>
        <v>65.095159130537652</v>
      </c>
      <c r="AS49" s="8">
        <f t="shared" si="0"/>
        <v>20.090000000000146</v>
      </c>
      <c r="AT49" s="8">
        <f t="shared" si="1"/>
        <v>10.059999999999491</v>
      </c>
      <c r="AU49" s="8">
        <f t="shared" si="25"/>
        <v>124.1391400999884</v>
      </c>
      <c r="AV49" s="15">
        <f t="shared" si="26"/>
        <v>114.10914009998774</v>
      </c>
    </row>
    <row r="50" spans="1:48" x14ac:dyDescent="0.25">
      <c r="A50" t="s">
        <v>62</v>
      </c>
      <c r="B50" s="37">
        <v>0.5</v>
      </c>
      <c r="E50" t="s">
        <v>62</v>
      </c>
      <c r="F50" s="37">
        <v>0.5</v>
      </c>
      <c r="I50" t="s">
        <v>62</v>
      </c>
      <c r="J50" s="37">
        <v>0.5</v>
      </c>
      <c r="M50" t="s">
        <v>62</v>
      </c>
      <c r="N50" s="37">
        <v>0.5</v>
      </c>
      <c r="Q50" t="s">
        <v>62</v>
      </c>
      <c r="R50" s="37">
        <v>0.5</v>
      </c>
      <c r="U50" s="4">
        <v>20000</v>
      </c>
      <c r="V50" s="7">
        <f t="shared" si="34"/>
        <v>44.6</v>
      </c>
      <c r="W50" s="7">
        <f t="shared" si="3"/>
        <v>2.1816615649929121</v>
      </c>
      <c r="X50" s="7">
        <f t="shared" si="4"/>
        <v>2.1816615649929121</v>
      </c>
      <c r="Y50" s="7">
        <f t="shared" si="5"/>
        <v>2.4068856639084975</v>
      </c>
      <c r="Z50" s="7">
        <f t="shared" si="6"/>
        <v>2.1816615649929121</v>
      </c>
      <c r="AA50" s="7">
        <f t="shared" si="7"/>
        <v>2.1816615649929121</v>
      </c>
      <c r="AB50" s="8">
        <f t="shared" si="35"/>
        <v>20.443134130267772</v>
      </c>
      <c r="AC50" s="8">
        <f t="shared" si="36"/>
        <v>20.443134130267772</v>
      </c>
      <c r="AD50" s="8">
        <f t="shared" si="10"/>
        <v>18.530169782795117</v>
      </c>
      <c r="AE50" s="8">
        <f t="shared" si="11"/>
        <v>20.443134130267772</v>
      </c>
      <c r="AF50" s="8">
        <f t="shared" si="12"/>
        <v>20.443134130267772</v>
      </c>
      <c r="AG50" s="8">
        <f t="shared" si="13"/>
        <v>0.32447339523922286</v>
      </c>
      <c r="AH50" s="8">
        <f t="shared" si="14"/>
        <v>23.491873815319732</v>
      </c>
      <c r="AI50" s="8">
        <f t="shared" si="15"/>
        <v>4.0521594108105896</v>
      </c>
      <c r="AJ50" s="8">
        <f t="shared" si="16"/>
        <v>1.9468403714353371</v>
      </c>
      <c r="AK50" s="8">
        <f t="shared" si="17"/>
        <v>11.161884796229266</v>
      </c>
      <c r="AL50" s="8">
        <f t="shared" si="18"/>
        <v>0.74522231783291992</v>
      </c>
      <c r="AM50" s="8">
        <f t="shared" si="19"/>
        <v>4.9967013647801144</v>
      </c>
      <c r="AN50" s="8">
        <f t="shared" si="20"/>
        <v>49.982936120017982</v>
      </c>
      <c r="AO50" s="8">
        <f t="shared" si="21"/>
        <v>9.3688150589627153</v>
      </c>
      <c r="AP50" s="8">
        <f t="shared" si="22"/>
        <v>3.1229383529875716</v>
      </c>
      <c r="AQ50" s="8">
        <f t="shared" si="23"/>
        <v>40.97723178903415</v>
      </c>
      <c r="AR50" s="31">
        <f t="shared" si="24"/>
        <v>68.216613214581301</v>
      </c>
      <c r="AS50" s="8">
        <f t="shared" si="0"/>
        <v>20.090000000000146</v>
      </c>
      <c r="AT50" s="8">
        <f t="shared" si="1"/>
        <v>10.059999999999491</v>
      </c>
      <c r="AU50" s="8">
        <f t="shared" si="25"/>
        <v>129.2838450036156</v>
      </c>
      <c r="AV50" s="15">
        <f t="shared" si="26"/>
        <v>119.25384500361494</v>
      </c>
    </row>
    <row r="51" spans="1:48" x14ac:dyDescent="0.25">
      <c r="A51" t="s">
        <v>63</v>
      </c>
      <c r="B51" s="37">
        <v>0.66</v>
      </c>
      <c r="E51" t="s">
        <v>63</v>
      </c>
      <c r="F51" s="37">
        <v>0.66</v>
      </c>
      <c r="I51" t="s">
        <v>63</v>
      </c>
      <c r="J51" s="37">
        <v>0.66</v>
      </c>
      <c r="M51" t="s">
        <v>63</v>
      </c>
      <c r="N51" s="37">
        <v>0.66</v>
      </c>
      <c r="Q51" t="s">
        <v>63</v>
      </c>
      <c r="R51" s="37">
        <v>0.66</v>
      </c>
      <c r="U51" s="4">
        <v>20500</v>
      </c>
      <c r="V51" s="7">
        <f t="shared" ref="V51:V54" si="37">U51*0.00223</f>
        <v>45.715000000000003</v>
      </c>
      <c r="W51" s="7">
        <f t="shared" si="3"/>
        <v>2.1816615649929121</v>
      </c>
      <c r="X51" s="7">
        <f t="shared" si="4"/>
        <v>2.1816615649929121</v>
      </c>
      <c r="Y51" s="7">
        <f t="shared" si="5"/>
        <v>2.4068856639084975</v>
      </c>
      <c r="Z51" s="7">
        <f t="shared" si="6"/>
        <v>2.1816615649929121</v>
      </c>
      <c r="AA51" s="7">
        <f t="shared" si="7"/>
        <v>2.1816615649929121</v>
      </c>
      <c r="AB51" s="8">
        <f t="shared" ref="AB51:AB54" si="38">V51/W51</f>
        <v>20.954212483524469</v>
      </c>
      <c r="AC51" s="8">
        <f t="shared" ref="AC51:AC54" si="39">V51/X51</f>
        <v>20.954212483524469</v>
      </c>
      <c r="AD51" s="8">
        <f t="shared" si="10"/>
        <v>18.993424027364995</v>
      </c>
      <c r="AE51" s="8">
        <f t="shared" si="11"/>
        <v>20.954212483524469</v>
      </c>
      <c r="AF51" s="8">
        <f t="shared" si="12"/>
        <v>20.954212483524469</v>
      </c>
      <c r="AG51" s="8">
        <f t="shared" si="13"/>
        <v>0.34089986087320862</v>
      </c>
      <c r="AH51" s="8">
        <f t="shared" si="14"/>
        <v>24.6811499272203</v>
      </c>
      <c r="AI51" s="8">
        <f t="shared" si="15"/>
        <v>4.2572999809828769</v>
      </c>
      <c r="AJ51" s="8">
        <f t="shared" si="16"/>
        <v>2.0453991652392514</v>
      </c>
      <c r="AK51" s="8">
        <f t="shared" si="17"/>
        <v>11.726955214038375</v>
      </c>
      <c r="AL51" s="8">
        <f t="shared" si="18"/>
        <v>0.78005460243391256</v>
      </c>
      <c r="AM51" s="8">
        <f t="shared" si="19"/>
        <v>5.2302511657446242</v>
      </c>
      <c r="AN51" s="8">
        <f t="shared" si="20"/>
        <v>52.319178358694614</v>
      </c>
      <c r="AO51" s="8">
        <f t="shared" si="21"/>
        <v>9.8067209357711711</v>
      </c>
      <c r="AP51" s="8">
        <f t="shared" si="22"/>
        <v>3.2689069785903904</v>
      </c>
      <c r="AQ51" s="8">
        <f t="shared" si="23"/>
        <v>43.051704148354013</v>
      </c>
      <c r="AR51" s="31">
        <f t="shared" si="24"/>
        <v>71.405112041234716</v>
      </c>
      <c r="AS51" s="8">
        <f t="shared" si="0"/>
        <v>20.090000000000146</v>
      </c>
      <c r="AT51" s="8">
        <f t="shared" si="1"/>
        <v>10.059999999999491</v>
      </c>
      <c r="AU51" s="8">
        <f t="shared" si="25"/>
        <v>134.54681618958887</v>
      </c>
      <c r="AV51" s="15">
        <f t="shared" si="26"/>
        <v>124.51681618958821</v>
      </c>
    </row>
    <row r="52" spans="1:48" x14ac:dyDescent="0.25">
      <c r="A52" t="s">
        <v>64</v>
      </c>
      <c r="B52" s="37">
        <v>1.2</v>
      </c>
      <c r="E52" t="s">
        <v>64</v>
      </c>
      <c r="F52" s="37">
        <v>1.2</v>
      </c>
      <c r="I52" t="s">
        <v>64</v>
      </c>
      <c r="J52" s="37">
        <v>1.2</v>
      </c>
      <c r="M52" t="s">
        <v>64</v>
      </c>
      <c r="N52" s="37">
        <v>1.2</v>
      </c>
      <c r="Q52" t="s">
        <v>64</v>
      </c>
      <c r="R52" s="37">
        <v>1.2</v>
      </c>
      <c r="U52" s="4">
        <v>21000</v>
      </c>
      <c r="V52" s="7">
        <f t="shared" si="37"/>
        <v>46.830000000000005</v>
      </c>
      <c r="W52" s="7">
        <f t="shared" si="3"/>
        <v>2.1816615649929121</v>
      </c>
      <c r="X52" s="7">
        <f t="shared" si="4"/>
        <v>2.1816615649929121</v>
      </c>
      <c r="Y52" s="7">
        <f t="shared" si="5"/>
        <v>2.4068856639084975</v>
      </c>
      <c r="Z52" s="7">
        <f t="shared" si="6"/>
        <v>2.1816615649929121</v>
      </c>
      <c r="AA52" s="7">
        <f t="shared" si="7"/>
        <v>2.1816615649929121</v>
      </c>
      <c r="AB52" s="8">
        <f t="shared" si="38"/>
        <v>21.465290836781161</v>
      </c>
      <c r="AC52" s="8">
        <f t="shared" si="39"/>
        <v>21.465290836781161</v>
      </c>
      <c r="AD52" s="8">
        <f t="shared" si="10"/>
        <v>19.456678271934873</v>
      </c>
      <c r="AE52" s="8">
        <f t="shared" si="11"/>
        <v>21.465290836781161</v>
      </c>
      <c r="AF52" s="8">
        <f t="shared" si="12"/>
        <v>21.465290836781161</v>
      </c>
      <c r="AG52" s="8">
        <f t="shared" si="13"/>
        <v>0.35773191825124323</v>
      </c>
      <c r="AH52" s="8">
        <f t="shared" si="14"/>
        <v>25.899790881390008</v>
      </c>
      <c r="AI52" s="8">
        <f t="shared" si="15"/>
        <v>4.4675057504186766</v>
      </c>
      <c r="AJ52" s="8">
        <f t="shared" si="16"/>
        <v>2.1463915095074588</v>
      </c>
      <c r="AK52" s="8">
        <f t="shared" si="17"/>
        <v>12.305977987842766</v>
      </c>
      <c r="AL52" s="8">
        <f t="shared" si="18"/>
        <v>0.81561659932120034</v>
      </c>
      <c r="AM52" s="8">
        <f t="shared" si="19"/>
        <v>5.4686936736095815</v>
      </c>
      <c r="AN52" s="8">
        <f t="shared" si="20"/>
        <v>54.70436325745932</v>
      </c>
      <c r="AO52" s="8">
        <f t="shared" si="21"/>
        <v>10.253800638017966</v>
      </c>
      <c r="AP52" s="8">
        <f t="shared" si="22"/>
        <v>3.4179335460059885</v>
      </c>
      <c r="AQ52" s="8">
        <f t="shared" si="23"/>
        <v>45.177398047410151</v>
      </c>
      <c r="AR52" s="31">
        <f t="shared" si="24"/>
        <v>74.660407714414049</v>
      </c>
      <c r="AS52" s="8">
        <f t="shared" si="0"/>
        <v>20.090000000000146</v>
      </c>
      <c r="AT52" s="8">
        <f t="shared" si="1"/>
        <v>10.059999999999491</v>
      </c>
      <c r="AU52" s="8">
        <f t="shared" si="25"/>
        <v>139.92780576182435</v>
      </c>
      <c r="AV52" s="15">
        <f t="shared" si="26"/>
        <v>129.89780576182369</v>
      </c>
    </row>
    <row r="53" spans="1:48" x14ac:dyDescent="0.25">
      <c r="A53" t="s">
        <v>65</v>
      </c>
      <c r="B53" s="37">
        <v>1.2</v>
      </c>
      <c r="C53">
        <v>0</v>
      </c>
      <c r="E53" t="s">
        <v>65</v>
      </c>
      <c r="F53" s="37">
        <v>1.2</v>
      </c>
      <c r="G53">
        <v>1</v>
      </c>
      <c r="I53" t="s">
        <v>65</v>
      </c>
      <c r="J53" s="37">
        <v>1.2</v>
      </c>
      <c r="M53" t="s">
        <v>65</v>
      </c>
      <c r="N53" s="37">
        <v>1.2</v>
      </c>
      <c r="Q53" t="s">
        <v>65</v>
      </c>
      <c r="R53" s="37">
        <v>1.2</v>
      </c>
      <c r="U53" s="4">
        <v>21500</v>
      </c>
      <c r="V53" s="7">
        <f t="shared" si="37"/>
        <v>47.945000000000007</v>
      </c>
      <c r="W53" s="7">
        <f t="shared" si="3"/>
        <v>2.1816615649929121</v>
      </c>
      <c r="X53" s="7">
        <f t="shared" si="4"/>
        <v>2.1816615649929121</v>
      </c>
      <c r="Y53" s="7">
        <f t="shared" si="5"/>
        <v>2.4068856639084975</v>
      </c>
      <c r="Z53" s="7">
        <f t="shared" si="6"/>
        <v>2.1816615649929121</v>
      </c>
      <c r="AA53" s="7">
        <f t="shared" si="7"/>
        <v>2.1816615649929121</v>
      </c>
      <c r="AB53" s="8">
        <f t="shared" si="38"/>
        <v>21.976369190037857</v>
      </c>
      <c r="AC53" s="8">
        <f t="shared" si="39"/>
        <v>21.976369190037857</v>
      </c>
      <c r="AD53" s="8">
        <f t="shared" si="10"/>
        <v>19.919932516504751</v>
      </c>
      <c r="AE53" s="8">
        <f t="shared" si="11"/>
        <v>21.976369190037857</v>
      </c>
      <c r="AF53" s="8">
        <f t="shared" si="12"/>
        <v>21.976369190037857</v>
      </c>
      <c r="AG53" s="8">
        <f t="shared" si="13"/>
        <v>0.37496956737332704</v>
      </c>
      <c r="AH53" s="8">
        <f t="shared" si="14"/>
        <v>27.147796677828875</v>
      </c>
      <c r="AI53" s="8">
        <f t="shared" si="15"/>
        <v>4.6827767191179888</v>
      </c>
      <c r="AJ53" s="8">
        <f t="shared" si="16"/>
        <v>2.2498174042399617</v>
      </c>
      <c r="AK53" s="8">
        <f t="shared" si="17"/>
        <v>12.898953117642447</v>
      </c>
      <c r="AL53" s="8">
        <f t="shared" si="18"/>
        <v>0.85190567532155348</v>
      </c>
      <c r="AM53" s="8">
        <f t="shared" si="19"/>
        <v>5.7120112329989219</v>
      </c>
      <c r="AN53" s="8">
        <f t="shared" si="20"/>
        <v>57.138314206291206</v>
      </c>
      <c r="AO53" s="8">
        <f t="shared" si="21"/>
        <v>10.710021061872979</v>
      </c>
      <c r="AP53" s="8">
        <f t="shared" si="22"/>
        <v>3.5700070206243262</v>
      </c>
      <c r="AQ53" s="8">
        <f t="shared" si="23"/>
        <v>47.354313486202599</v>
      </c>
      <c r="AR53" s="31">
        <f t="shared" si="24"/>
        <v>77.982259197108988</v>
      </c>
      <c r="AS53" s="8">
        <f t="shared" si="0"/>
        <v>20.090000000000146</v>
      </c>
      <c r="AT53" s="8">
        <f t="shared" si="1"/>
        <v>10.059999999999491</v>
      </c>
      <c r="AU53" s="8">
        <f t="shared" si="25"/>
        <v>145.42657268331175</v>
      </c>
      <c r="AV53" s="15">
        <f t="shared" si="26"/>
        <v>135.39657268331109</v>
      </c>
    </row>
    <row r="54" spans="1:48" x14ac:dyDescent="0.25">
      <c r="A54" t="s">
        <v>66</v>
      </c>
      <c r="B54" s="37">
        <v>0.1</v>
      </c>
      <c r="E54" t="s">
        <v>66</v>
      </c>
      <c r="F54" s="37">
        <v>0.1</v>
      </c>
      <c r="I54" t="s">
        <v>66</v>
      </c>
      <c r="J54" s="37">
        <v>0.1</v>
      </c>
      <c r="M54" t="s">
        <v>66</v>
      </c>
      <c r="N54" s="37">
        <v>0.1</v>
      </c>
      <c r="Q54" t="s">
        <v>66</v>
      </c>
      <c r="R54" s="37">
        <v>0.1</v>
      </c>
      <c r="U54" s="4">
        <v>22000</v>
      </c>
      <c r="V54" s="7">
        <f t="shared" si="37"/>
        <v>49.06</v>
      </c>
      <c r="W54" s="7">
        <f t="shared" si="3"/>
        <v>2.1816615649929121</v>
      </c>
      <c r="X54" s="7">
        <f t="shared" si="4"/>
        <v>2.1816615649929121</v>
      </c>
      <c r="Y54" s="7">
        <f t="shared" si="5"/>
        <v>2.4068856639084975</v>
      </c>
      <c r="Z54" s="7">
        <f t="shared" si="6"/>
        <v>2.1816615649929121</v>
      </c>
      <c r="AA54" s="7">
        <f t="shared" si="7"/>
        <v>2.1816615649929121</v>
      </c>
      <c r="AB54" s="8">
        <f t="shared" si="38"/>
        <v>22.48744754329455</v>
      </c>
      <c r="AC54" s="8">
        <f t="shared" si="39"/>
        <v>22.48744754329455</v>
      </c>
      <c r="AD54" s="8">
        <f t="shared" si="10"/>
        <v>20.383186761074629</v>
      </c>
      <c r="AE54" s="8">
        <f t="shared" si="11"/>
        <v>22.48744754329455</v>
      </c>
      <c r="AF54" s="8">
        <f t="shared" si="12"/>
        <v>22.48744754329455</v>
      </c>
      <c r="AG54" s="8">
        <f t="shared" si="13"/>
        <v>0.39261280823945971</v>
      </c>
      <c r="AH54" s="8">
        <f t="shared" si="14"/>
        <v>28.425167316536879</v>
      </c>
      <c r="AI54" s="8">
        <f t="shared" si="15"/>
        <v>4.9031128870808152</v>
      </c>
      <c r="AJ54" s="8">
        <f t="shared" si="16"/>
        <v>2.3556768494367577</v>
      </c>
      <c r="AK54" s="8">
        <f t="shared" si="17"/>
        <v>13.505880603437411</v>
      </c>
      <c r="AL54" s="8">
        <f t="shared" si="18"/>
        <v>0.88891926840712332</v>
      </c>
      <c r="AM54" s="8">
        <f t="shared" si="19"/>
        <v>5.9601866655650033</v>
      </c>
      <c r="AN54" s="8">
        <f t="shared" si="20"/>
        <v>59.620859366973363</v>
      </c>
      <c r="AO54" s="8">
        <f t="shared" si="21"/>
        <v>11.175349997934383</v>
      </c>
      <c r="AP54" s="8">
        <f t="shared" si="22"/>
        <v>3.7251166659781272</v>
      </c>
      <c r="AQ54" s="8">
        <f t="shared" si="23"/>
        <v>49.582450464731316</v>
      </c>
      <c r="AR54" s="31">
        <f t="shared" si="24"/>
        <v>81.370431964857985</v>
      </c>
      <c r="AS54" s="8">
        <f t="shared" si="0"/>
        <v>20.090000000000146</v>
      </c>
      <c r="AT54" s="8">
        <f t="shared" si="1"/>
        <v>10.059999999999491</v>
      </c>
      <c r="AU54" s="8">
        <f t="shared" si="25"/>
        <v>151.04288242958944</v>
      </c>
      <c r="AV54" s="15">
        <f t="shared" si="26"/>
        <v>141.01288242958879</v>
      </c>
    </row>
    <row r="55" spans="1:48" x14ac:dyDescent="0.25">
      <c r="A55" t="s">
        <v>67</v>
      </c>
      <c r="B55" s="37">
        <v>0.04</v>
      </c>
      <c r="E55" t="s">
        <v>67</v>
      </c>
      <c r="F55" s="37">
        <v>0.04</v>
      </c>
      <c r="I55" t="s">
        <v>67</v>
      </c>
      <c r="J55" s="37">
        <v>0.04</v>
      </c>
      <c r="M55" t="s">
        <v>67</v>
      </c>
      <c r="N55" s="37">
        <v>0.04</v>
      </c>
      <c r="Q55" t="s">
        <v>67</v>
      </c>
      <c r="R55" s="37">
        <v>0.04</v>
      </c>
    </row>
    <row r="56" spans="1:48" x14ac:dyDescent="0.25">
      <c r="A56" t="s">
        <v>68</v>
      </c>
      <c r="B56" s="6">
        <f>SUMPRODUCT(B29:B55,C29:C55)</f>
        <v>0.05</v>
      </c>
      <c r="E56" t="s">
        <v>68</v>
      </c>
      <c r="F56" s="6">
        <f>SUMPRODUCT(F29:F55,G29:G55)</f>
        <v>3.62</v>
      </c>
      <c r="I56" t="s">
        <v>68</v>
      </c>
      <c r="J56" s="6">
        <f>SUMPRODUCT(J29:J55,K29:K55)</f>
        <v>0.76</v>
      </c>
      <c r="M56" t="s">
        <v>68</v>
      </c>
      <c r="N56" s="40">
        <f>SUMPRODUCT(N29:N55,O29:O55)</f>
        <v>0.3</v>
      </c>
      <c r="Q56" t="s">
        <v>68</v>
      </c>
      <c r="R56" s="40">
        <f>SUMPRODUCT(R29:R55,S29:S55)</f>
        <v>1.72</v>
      </c>
    </row>
    <row r="59" spans="1:48" x14ac:dyDescent="0.25">
      <c r="C59" s="20"/>
      <c r="D59" s="20"/>
      <c r="E59" s="20"/>
      <c r="F59" s="20"/>
    </row>
  </sheetData>
  <sheetProtection algorithmName="SHA-512" hashValue="RB1V+cHNWU8bFJOieTeX9JDv+OlHLeAoaNYLZUsjEGQBeCb4GFkf33Jyjxh2t8ov0I+GgkLnn1y4oKGz24A7VA==" saltValue="q1O6FTNtrqwxt7RQAUkC3w==" spinCount="100000" sheet="1" objects="1" scenarios="1" selectLockedCells="1" selectUnlockedCells="1"/>
  <customSheetViews>
    <customSheetView guid="{DD12DCA6-AC95-44E9-85FD-88104CF4D155}" scale="60" showPageBreaks="1" view="pageBreakPreview" topLeftCell="J16">
      <selection activeCell="H5" sqref="H5:J5"/>
      <pageMargins left="0.7" right="0.7" top="0.75" bottom="0.75" header="0.3" footer="0.3"/>
      <pageSetup scale="14" orientation="portrait" r:id="rId1"/>
    </customSheetView>
  </customSheetViews>
  <pageMargins left="0.7" right="0.7" top="0.75" bottom="0.75" header="0.3" footer="0.3"/>
  <pageSetup scale="14" orientation="portrait" r:id="rId2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60"/>
  <sheetViews>
    <sheetView view="pageBreakPreview" topLeftCell="J4" zoomScale="60" zoomScaleNormal="70" workbookViewId="0">
      <selection activeCell="H5" sqref="H5:J5"/>
    </sheetView>
  </sheetViews>
  <sheetFormatPr defaultRowHeight="15" x14ac:dyDescent="0.25"/>
  <cols>
    <col min="1" max="1" width="22.85546875" customWidth="1"/>
    <col min="3" max="3" width="12.42578125" bestFit="1" customWidth="1"/>
    <col min="4" max="4" width="29.85546875" customWidth="1"/>
    <col min="5" max="5" width="27.42578125" customWidth="1"/>
    <col min="6" max="6" width="11.42578125" customWidth="1"/>
    <col min="7" max="7" width="8.42578125" customWidth="1"/>
    <col min="8" max="8" width="29" bestFit="1" customWidth="1"/>
    <col min="9" max="9" width="26.5703125" customWidth="1"/>
    <col min="10" max="10" width="9.42578125" customWidth="1"/>
    <col min="11" max="11" width="10.140625" customWidth="1"/>
    <col min="13" max="13" width="31.42578125" bestFit="1" customWidth="1"/>
    <col min="17" max="17" width="31.42578125" bestFit="1" customWidth="1"/>
    <col min="38" max="38" width="10.85546875" customWidth="1"/>
    <col min="39" max="43" width="11.85546875" customWidth="1"/>
    <col min="44" max="44" width="11.85546875" style="20" customWidth="1"/>
  </cols>
  <sheetData>
    <row r="1" spans="1:48" x14ac:dyDescent="0.25">
      <c r="A1" s="1" t="s">
        <v>15</v>
      </c>
    </row>
    <row r="2" spans="1:48" x14ac:dyDescent="0.25">
      <c r="B2" s="3" t="s">
        <v>86</v>
      </c>
      <c r="C2">
        <v>5176.2299999999996</v>
      </c>
      <c r="D2" t="s">
        <v>87</v>
      </c>
      <c r="H2" t="s">
        <v>97</v>
      </c>
    </row>
    <row r="3" spans="1:48" x14ac:dyDescent="0.25">
      <c r="B3" s="3" t="s">
        <v>81</v>
      </c>
      <c r="C3">
        <v>5180.01</v>
      </c>
      <c r="D3" t="s">
        <v>105</v>
      </c>
      <c r="H3" t="s">
        <v>96</v>
      </c>
      <c r="I3">
        <v>5</v>
      </c>
      <c r="J3" t="s">
        <v>17</v>
      </c>
      <c r="W3" s="38" t="s">
        <v>113</v>
      </c>
    </row>
    <row r="4" spans="1:48" x14ac:dyDescent="0.25">
      <c r="B4" s="3" t="s">
        <v>223</v>
      </c>
      <c r="C4">
        <v>5190.07</v>
      </c>
      <c r="D4" t="s">
        <v>104</v>
      </c>
      <c r="H4" t="s">
        <v>98</v>
      </c>
      <c r="I4">
        <v>10</v>
      </c>
      <c r="J4" t="s">
        <v>17</v>
      </c>
      <c r="W4" s="38" t="s">
        <v>114</v>
      </c>
    </row>
    <row r="5" spans="1:48" x14ac:dyDescent="0.25">
      <c r="B5" s="3" t="s">
        <v>224</v>
      </c>
      <c r="C5">
        <v>5196.32</v>
      </c>
      <c r="H5" t="s">
        <v>99</v>
      </c>
      <c r="I5">
        <v>10.199999999999999</v>
      </c>
      <c r="J5" t="s">
        <v>17</v>
      </c>
      <c r="W5" s="38"/>
    </row>
    <row r="6" spans="1:48" x14ac:dyDescent="0.25">
      <c r="C6" s="13"/>
      <c r="D6" s="108"/>
    </row>
    <row r="7" spans="1:48" ht="30" x14ac:dyDescent="0.25">
      <c r="A7" s="1" t="s">
        <v>16</v>
      </c>
      <c r="U7" s="4" t="s">
        <v>18</v>
      </c>
      <c r="V7" s="4"/>
      <c r="W7" s="12" t="s">
        <v>73</v>
      </c>
      <c r="X7" s="12" t="s">
        <v>72</v>
      </c>
      <c r="Y7" s="12" t="s">
        <v>180</v>
      </c>
      <c r="Z7" s="12" t="s">
        <v>181</v>
      </c>
      <c r="AA7" s="12" t="s">
        <v>182</v>
      </c>
      <c r="AB7" s="12" t="s">
        <v>71</v>
      </c>
      <c r="AC7" s="12" t="s">
        <v>70</v>
      </c>
      <c r="AD7" s="12" t="s">
        <v>183</v>
      </c>
      <c r="AE7" s="12" t="s">
        <v>184</v>
      </c>
      <c r="AF7" s="12" t="s">
        <v>185</v>
      </c>
      <c r="AG7" s="12" t="s">
        <v>74</v>
      </c>
      <c r="AH7" s="12" t="s">
        <v>75</v>
      </c>
      <c r="AI7" s="12" t="s">
        <v>186</v>
      </c>
      <c r="AJ7" s="12" t="s">
        <v>187</v>
      </c>
      <c r="AK7" s="12" t="s">
        <v>188</v>
      </c>
      <c r="AL7" s="12" t="s">
        <v>76</v>
      </c>
      <c r="AM7" s="12" t="s">
        <v>77</v>
      </c>
      <c r="AN7" s="12" t="s">
        <v>189</v>
      </c>
      <c r="AO7" s="12" t="s">
        <v>190</v>
      </c>
      <c r="AP7" s="12" t="s">
        <v>191</v>
      </c>
      <c r="AQ7" s="12" t="s">
        <v>192</v>
      </c>
      <c r="AR7" s="14" t="s">
        <v>193</v>
      </c>
      <c r="AS7" s="12" t="s">
        <v>83</v>
      </c>
      <c r="AT7" s="12" t="s">
        <v>82</v>
      </c>
      <c r="AU7" s="11" t="s">
        <v>84</v>
      </c>
      <c r="AV7" s="14" t="s">
        <v>85</v>
      </c>
    </row>
    <row r="8" spans="1:48" x14ac:dyDescent="0.25">
      <c r="A8" t="s">
        <v>79</v>
      </c>
      <c r="C8" s="13">
        <f>C5-C2+C6</f>
        <v>20.090000000000146</v>
      </c>
      <c r="U8" s="4" t="s">
        <v>8</v>
      </c>
      <c r="V8" s="4" t="s">
        <v>19</v>
      </c>
      <c r="W8" s="4" t="s">
        <v>20</v>
      </c>
      <c r="X8" s="4" t="s">
        <v>20</v>
      </c>
      <c r="Y8" s="4" t="s">
        <v>20</v>
      </c>
      <c r="Z8" s="4" t="s">
        <v>20</v>
      </c>
      <c r="AA8" s="4" t="s">
        <v>20</v>
      </c>
      <c r="AB8" s="4" t="s">
        <v>21</v>
      </c>
      <c r="AC8" s="4" t="s">
        <v>21</v>
      </c>
      <c r="AD8" s="4" t="s">
        <v>21</v>
      </c>
      <c r="AE8" s="4" t="s">
        <v>21</v>
      </c>
      <c r="AF8" s="4" t="s">
        <v>21</v>
      </c>
      <c r="AG8" s="4" t="s">
        <v>17</v>
      </c>
      <c r="AH8" s="4" t="s">
        <v>17</v>
      </c>
      <c r="AI8" s="4" t="s">
        <v>17</v>
      </c>
      <c r="AJ8" s="4" t="s">
        <v>17</v>
      </c>
      <c r="AK8" s="4" t="s">
        <v>17</v>
      </c>
      <c r="AL8" s="4" t="s">
        <v>17</v>
      </c>
      <c r="AM8" s="4" t="s">
        <v>17</v>
      </c>
      <c r="AN8" s="4" t="s">
        <v>17</v>
      </c>
      <c r="AO8" s="4" t="s">
        <v>17</v>
      </c>
      <c r="AP8" s="4" t="s">
        <v>17</v>
      </c>
      <c r="AQ8" s="4" t="s">
        <v>17</v>
      </c>
      <c r="AR8" s="30" t="s">
        <v>17</v>
      </c>
      <c r="AS8" s="4" t="s">
        <v>17</v>
      </c>
      <c r="AT8" s="4" t="s">
        <v>17</v>
      </c>
      <c r="AU8" s="4" t="s">
        <v>17</v>
      </c>
      <c r="AV8" s="4" t="s">
        <v>17</v>
      </c>
    </row>
    <row r="9" spans="1:48" x14ac:dyDescent="0.25">
      <c r="A9" t="s">
        <v>80</v>
      </c>
      <c r="C9" s="13">
        <f>C4-C3+C6</f>
        <v>10.059999999999491</v>
      </c>
      <c r="U9" s="4">
        <v>0</v>
      </c>
      <c r="V9" s="7">
        <f>U9*0.00223</f>
        <v>0</v>
      </c>
      <c r="W9" s="7">
        <f>$C$20^2*PI()/4/144</f>
        <v>2.1816615649929121</v>
      </c>
      <c r="X9" s="7">
        <f>$G$20^2*PI()/4/144</f>
        <v>2.1816615649929121</v>
      </c>
      <c r="Y9" s="7">
        <f>$K$20^2*PI()/4/144</f>
        <v>3.3545228223331018</v>
      </c>
      <c r="Z9" s="7">
        <f>$N$20^2*PI()/4/144</f>
        <v>2.1816615649929121</v>
      </c>
      <c r="AA9" s="7">
        <f>$R$20^2*PI()/4/144</f>
        <v>2.1816615649929121</v>
      </c>
      <c r="AB9" s="8">
        <f>V9/W9</f>
        <v>0</v>
      </c>
      <c r="AC9" s="8">
        <f>V9/X9</f>
        <v>0</v>
      </c>
      <c r="AD9" s="8">
        <f>V9/Y9</f>
        <v>0</v>
      </c>
      <c r="AE9" s="8">
        <f>V9/Z9</f>
        <v>0</v>
      </c>
      <c r="AF9" s="8">
        <f>V9/AA9</f>
        <v>0</v>
      </c>
      <c r="AG9" s="8">
        <f>$B$56*(AB9^2)/(2*32.2)</f>
        <v>0</v>
      </c>
      <c r="AH9" s="8">
        <f>$F$56*(AC9^2)/(2*32.2)</f>
        <v>0</v>
      </c>
      <c r="AI9" s="8">
        <f>$J$56*(AD9^2)/(2*32.2)</f>
        <v>0</v>
      </c>
      <c r="AJ9" s="8">
        <f>$N$56*(AE9^2)/(2*32.2)</f>
        <v>0</v>
      </c>
      <c r="AK9" s="8">
        <f>$R$56*(AF9^2)/(2*32.2)</f>
        <v>0</v>
      </c>
      <c r="AL9" s="8">
        <f>$C$19*($C$20^-4.87)*10.44*(U9/$C$21)^1.85</f>
        <v>0</v>
      </c>
      <c r="AM9" s="8">
        <f>$G$19*($G$20^-4.87)*10.5*(U9/$G$21)^1.85</f>
        <v>0</v>
      </c>
      <c r="AN9" s="8">
        <f>$K$19*($K$20^-4.87)*10.5*(U9/$K$21)^1.85</f>
        <v>0</v>
      </c>
      <c r="AO9" s="8">
        <f>$N$19*($N$20^-4.87)*10.5*(U9/$N$21)^1.85</f>
        <v>0</v>
      </c>
      <c r="AP9" s="8">
        <f>$R$19*($R$20^-4.87)*10.5*(U9/$R$21)^1.85</f>
        <v>0</v>
      </c>
      <c r="AQ9" s="8">
        <f>SUM(AG9:AK9)</f>
        <v>0</v>
      </c>
      <c r="AR9" s="31">
        <f>SUM(AL9:AP9)</f>
        <v>0</v>
      </c>
      <c r="AS9" s="8">
        <f t="shared" ref="AS9:AS54" si="0">$C$8</f>
        <v>20.090000000000146</v>
      </c>
      <c r="AT9" s="8">
        <f t="shared" ref="AT9:AT54" si="1">$C$9</f>
        <v>10.059999999999491</v>
      </c>
      <c r="AU9" s="8">
        <f>AQ9+AR9+AS9</f>
        <v>20.090000000000146</v>
      </c>
      <c r="AV9" s="15">
        <f>AQ9+AR9+AT9</f>
        <v>10.059999999999491</v>
      </c>
    </row>
    <row r="10" spans="1:48" x14ac:dyDescent="0.25">
      <c r="U10" s="4">
        <v>500</v>
      </c>
      <c r="V10" s="7">
        <f t="shared" ref="V10:V28" si="2">U10*0.00223</f>
        <v>1.1150000000000002</v>
      </c>
      <c r="W10" s="7">
        <f t="shared" ref="W10:W54" si="3">$C$20^2*PI()/4/144</f>
        <v>2.1816615649929121</v>
      </c>
      <c r="X10" s="7">
        <f t="shared" ref="X10:X54" si="4">$G$20^2*PI()/4/144</f>
        <v>2.1816615649929121</v>
      </c>
      <c r="Y10" s="7">
        <f t="shared" ref="Y10:Y54" si="5">$K$20^2*PI()/4/144</f>
        <v>3.3545228223331018</v>
      </c>
      <c r="Z10" s="7">
        <f t="shared" ref="Z10:Z54" si="6">$N$20^2*PI()/4/144</f>
        <v>2.1816615649929121</v>
      </c>
      <c r="AA10" s="7">
        <f t="shared" ref="AA10:AA54" si="7">$R$20^2*PI()/4/144</f>
        <v>2.1816615649929121</v>
      </c>
      <c r="AB10" s="8">
        <f t="shared" ref="AB10:AB28" si="8">V10/W10</f>
        <v>0.51107835325669437</v>
      </c>
      <c r="AC10" s="8">
        <f t="shared" ref="AC10:AC54" si="9">V10/X10</f>
        <v>0.51107835325669437</v>
      </c>
      <c r="AD10" s="8">
        <f t="shared" ref="AD10:AD54" si="10">V10/Y10</f>
        <v>0.33238706637402077</v>
      </c>
      <c r="AE10" s="8">
        <f t="shared" ref="AE10:AE54" si="11">V10/Z10</f>
        <v>0.51107835325669437</v>
      </c>
      <c r="AF10" s="8">
        <f t="shared" ref="AF10:AF54" si="12">V10/AA10</f>
        <v>0.51107835325669437</v>
      </c>
      <c r="AG10" s="8">
        <f t="shared" ref="AG10:AG54" si="13">$B$56*(AB10^2)/(2*32.2)</f>
        <v>2.0279587202451436E-4</v>
      </c>
      <c r="AH10" s="8">
        <f t="shared" ref="AH10:AH54" si="14">$F$56*(AC10^2)/(2*32.2)</f>
        <v>1.468242113457484E-2</v>
      </c>
      <c r="AI10" s="8">
        <f t="shared" ref="AI10:AI54" si="15">$J$56*(AD10^2)/(2*32.2)</f>
        <v>1.3038149540135564E-3</v>
      </c>
      <c r="AJ10" s="8">
        <f t="shared" ref="AJ10:AJ54" si="16">$N$56*(AE10^2)/(2*32.2)</f>
        <v>1.2167752321470861E-3</v>
      </c>
      <c r="AK10" s="8">
        <f t="shared" ref="AK10:AK54" si="17">$R$56*(AF10^2)/(2*32.2)</f>
        <v>6.9761779976432936E-3</v>
      </c>
      <c r="AL10" s="8">
        <f t="shared" ref="AL10:AL54" si="18">$C$19*($C$20^-4.87)*10.44*(U10/$C$21)^1.85</f>
        <v>8.0998106911718461E-4</v>
      </c>
      <c r="AM10" s="8">
        <f t="shared" ref="AM10:AM54" si="19">$G$19*($G$20^-4.87)*10.5*(U10/$G$21)^1.85</f>
        <v>4.4126123856360029E-3</v>
      </c>
      <c r="AN10" s="8">
        <f t="shared" ref="AN10:AN54" si="20">$K$19*($K$20^-4.87)*10.5*(U10/$K$21)^1.85</f>
        <v>2.4207165928065658E-2</v>
      </c>
      <c r="AO10" s="8">
        <f t="shared" ref="AO10:AO54" si="21">$N$19*($N$20^-4.87)*10.5*(U10/$N$21)^1.85</f>
        <v>1.0182951659160009E-2</v>
      </c>
      <c r="AP10" s="8">
        <f t="shared" ref="AP10:AP54" si="22">$R$19*($R$20^-4.87)*10.5*(U10/$R$21)^1.85</f>
        <v>3.3943172197200026E-3</v>
      </c>
      <c r="AQ10" s="8">
        <f t="shared" ref="AQ10:AQ54" si="23">SUM(AG10:AK10)</f>
        <v>2.4381985190403292E-2</v>
      </c>
      <c r="AR10" s="31">
        <f t="shared" ref="AR10:AR54" si="24">SUM(AL10:AP10)</f>
        <v>4.3007028261698853E-2</v>
      </c>
      <c r="AS10" s="8">
        <f t="shared" si="0"/>
        <v>20.090000000000146</v>
      </c>
      <c r="AT10" s="8">
        <f t="shared" si="1"/>
        <v>10.059999999999491</v>
      </c>
      <c r="AU10" s="8">
        <f t="shared" ref="AU10:AU54" si="25">AQ10+AR10+AS10</f>
        <v>20.157389013452249</v>
      </c>
      <c r="AV10" s="15">
        <f t="shared" ref="AV10:AV54" si="26">AQ10+AR10+AT10</f>
        <v>10.127389013451593</v>
      </c>
    </row>
    <row r="11" spans="1:48" x14ac:dyDescent="0.25">
      <c r="A11" s="1" t="s">
        <v>22</v>
      </c>
      <c r="C11" t="s">
        <v>24</v>
      </c>
      <c r="D11" t="s">
        <v>25</v>
      </c>
      <c r="U11" s="4">
        <v>1000</v>
      </c>
      <c r="V11" s="7">
        <f t="shared" si="2"/>
        <v>2.2300000000000004</v>
      </c>
      <c r="W11" s="7">
        <f t="shared" si="3"/>
        <v>2.1816615649929121</v>
      </c>
      <c r="X11" s="7">
        <f t="shared" si="4"/>
        <v>2.1816615649929121</v>
      </c>
      <c r="Y11" s="7">
        <f t="shared" si="5"/>
        <v>3.3545228223331018</v>
      </c>
      <c r="Z11" s="7">
        <f t="shared" si="6"/>
        <v>2.1816615649929121</v>
      </c>
      <c r="AA11" s="7">
        <f t="shared" si="7"/>
        <v>2.1816615649929121</v>
      </c>
      <c r="AB11" s="8">
        <f t="shared" si="8"/>
        <v>1.0221567065133887</v>
      </c>
      <c r="AC11" s="8">
        <f t="shared" si="9"/>
        <v>1.0221567065133887</v>
      </c>
      <c r="AD11" s="8">
        <f t="shared" si="10"/>
        <v>0.66477413274804154</v>
      </c>
      <c r="AE11" s="8">
        <f t="shared" si="11"/>
        <v>1.0221567065133887</v>
      </c>
      <c r="AF11" s="8">
        <f t="shared" si="12"/>
        <v>1.0221567065133887</v>
      </c>
      <c r="AG11" s="8">
        <f t="shared" si="13"/>
        <v>8.1118348809805746E-4</v>
      </c>
      <c r="AH11" s="8">
        <f t="shared" si="14"/>
        <v>5.8729684538299361E-2</v>
      </c>
      <c r="AI11" s="8">
        <f t="shared" si="15"/>
        <v>5.2152598160542258E-3</v>
      </c>
      <c r="AJ11" s="8">
        <f t="shared" si="16"/>
        <v>4.8671009285883443E-3</v>
      </c>
      <c r="AK11" s="8">
        <f t="shared" si="17"/>
        <v>2.7904711990573174E-2</v>
      </c>
      <c r="AL11" s="8">
        <f t="shared" si="18"/>
        <v>2.9199832529915089E-3</v>
      </c>
      <c r="AM11" s="8">
        <f t="shared" si="19"/>
        <v>1.5907475815506902E-2</v>
      </c>
      <c r="AN11" s="8">
        <f t="shared" si="20"/>
        <v>8.7266877964665188E-2</v>
      </c>
      <c r="AO11" s="8">
        <f t="shared" si="21"/>
        <v>3.6709559574246702E-2</v>
      </c>
      <c r="AP11" s="8">
        <f t="shared" si="22"/>
        <v>1.2236519858082235E-2</v>
      </c>
      <c r="AQ11" s="8">
        <f t="shared" si="23"/>
        <v>9.7527940761613169E-2</v>
      </c>
      <c r="AR11" s="31">
        <f t="shared" si="24"/>
        <v>0.15504041646549255</v>
      </c>
      <c r="AS11" s="8">
        <f t="shared" si="0"/>
        <v>20.090000000000146</v>
      </c>
      <c r="AT11" s="8">
        <f t="shared" si="1"/>
        <v>10.059999999999491</v>
      </c>
      <c r="AU11" s="8">
        <f t="shared" si="25"/>
        <v>20.34256835722725</v>
      </c>
      <c r="AV11" s="15">
        <f t="shared" si="26"/>
        <v>10.312568357226596</v>
      </c>
    </row>
    <row r="12" spans="1:48" x14ac:dyDescent="0.25">
      <c r="A12" t="s">
        <v>23</v>
      </c>
      <c r="C12" t="s">
        <v>27</v>
      </c>
      <c r="D12" t="s">
        <v>28</v>
      </c>
      <c r="U12" s="4">
        <v>1500</v>
      </c>
      <c r="V12" s="7">
        <f t="shared" si="2"/>
        <v>3.3450000000000002</v>
      </c>
      <c r="W12" s="7">
        <f t="shared" si="3"/>
        <v>2.1816615649929121</v>
      </c>
      <c r="X12" s="7">
        <f t="shared" si="4"/>
        <v>2.1816615649929121</v>
      </c>
      <c r="Y12" s="7">
        <f t="shared" si="5"/>
        <v>3.3545228223331018</v>
      </c>
      <c r="Z12" s="7">
        <f t="shared" si="6"/>
        <v>2.1816615649929121</v>
      </c>
      <c r="AA12" s="7">
        <f t="shared" si="7"/>
        <v>2.1816615649929121</v>
      </c>
      <c r="AB12" s="8">
        <f t="shared" si="8"/>
        <v>1.533235059770083</v>
      </c>
      <c r="AC12" s="8">
        <f t="shared" si="9"/>
        <v>1.533235059770083</v>
      </c>
      <c r="AD12" s="8">
        <f t="shared" si="10"/>
        <v>0.99716119912206214</v>
      </c>
      <c r="AE12" s="8">
        <f t="shared" si="11"/>
        <v>1.533235059770083</v>
      </c>
      <c r="AF12" s="8">
        <f t="shared" si="12"/>
        <v>1.533235059770083</v>
      </c>
      <c r="AG12" s="8">
        <f t="shared" si="13"/>
        <v>1.8251628482206289E-3</v>
      </c>
      <c r="AH12" s="8">
        <f t="shared" si="14"/>
        <v>0.13214179021117353</v>
      </c>
      <c r="AI12" s="8">
        <f t="shared" si="15"/>
        <v>1.1734334586122004E-2</v>
      </c>
      <c r="AJ12" s="8">
        <f t="shared" si="16"/>
        <v>1.0950977089323771E-2</v>
      </c>
      <c r="AK12" s="8">
        <f t="shared" si="17"/>
        <v>6.2785601978789629E-2</v>
      </c>
      <c r="AL12" s="8">
        <f t="shared" si="18"/>
        <v>6.1822873910266397E-3</v>
      </c>
      <c r="AM12" s="8">
        <f t="shared" si="19"/>
        <v>3.3679846299295033E-2</v>
      </c>
      <c r="AN12" s="8">
        <f t="shared" si="20"/>
        <v>0.18476438820068086</v>
      </c>
      <c r="AO12" s="8">
        <f t="shared" si="21"/>
        <v>7.7722722229142394E-2</v>
      </c>
      <c r="AP12" s="8">
        <f t="shared" si="22"/>
        <v>2.5907574076380797E-2</v>
      </c>
      <c r="AQ12" s="8">
        <f t="shared" si="23"/>
        <v>0.21943786671362955</v>
      </c>
      <c r="AR12" s="31">
        <f t="shared" si="24"/>
        <v>0.32825681819652569</v>
      </c>
      <c r="AS12" s="8">
        <f t="shared" si="0"/>
        <v>20.090000000000146</v>
      </c>
      <c r="AT12" s="8">
        <f t="shared" si="1"/>
        <v>10.059999999999491</v>
      </c>
      <c r="AU12" s="8">
        <f t="shared" si="25"/>
        <v>20.637694684910301</v>
      </c>
      <c r="AV12" s="15">
        <f t="shared" si="26"/>
        <v>10.607694684909646</v>
      </c>
    </row>
    <row r="13" spans="1:48" x14ac:dyDescent="0.25">
      <c r="A13" t="s">
        <v>26</v>
      </c>
      <c r="C13" t="s">
        <v>30</v>
      </c>
      <c r="D13" t="s">
        <v>30</v>
      </c>
      <c r="U13" s="4">
        <v>2000</v>
      </c>
      <c r="V13" s="7">
        <f t="shared" si="2"/>
        <v>4.4600000000000009</v>
      </c>
      <c r="W13" s="7">
        <f t="shared" si="3"/>
        <v>2.1816615649929121</v>
      </c>
      <c r="X13" s="7">
        <f t="shared" si="4"/>
        <v>2.1816615649929121</v>
      </c>
      <c r="Y13" s="7">
        <f t="shared" si="5"/>
        <v>3.3545228223331018</v>
      </c>
      <c r="Z13" s="7">
        <f t="shared" si="6"/>
        <v>2.1816615649929121</v>
      </c>
      <c r="AA13" s="7">
        <f t="shared" si="7"/>
        <v>2.1816615649929121</v>
      </c>
      <c r="AB13" s="8">
        <f t="shared" si="8"/>
        <v>2.0443134130267775</v>
      </c>
      <c r="AC13" s="8">
        <f t="shared" si="9"/>
        <v>2.0443134130267775</v>
      </c>
      <c r="AD13" s="8">
        <f t="shared" si="10"/>
        <v>1.3295482654960831</v>
      </c>
      <c r="AE13" s="8">
        <f t="shared" si="11"/>
        <v>2.0443134130267775</v>
      </c>
      <c r="AF13" s="8">
        <f t="shared" si="12"/>
        <v>2.0443134130267775</v>
      </c>
      <c r="AG13" s="8">
        <f t="shared" si="13"/>
        <v>3.2447339523922298E-3</v>
      </c>
      <c r="AH13" s="8">
        <f t="shared" si="14"/>
        <v>0.23491873815319744</v>
      </c>
      <c r="AI13" s="8">
        <f t="shared" si="15"/>
        <v>2.0861039264216903E-2</v>
      </c>
      <c r="AJ13" s="8">
        <f t="shared" si="16"/>
        <v>1.9468403714353377E-2</v>
      </c>
      <c r="AK13" s="8">
        <f t="shared" si="17"/>
        <v>0.1116188479622927</v>
      </c>
      <c r="AL13" s="8">
        <f t="shared" si="18"/>
        <v>1.0526545030297905E-2</v>
      </c>
      <c r="AM13" s="8">
        <f t="shared" si="19"/>
        <v>5.7346479750784801E-2</v>
      </c>
      <c r="AN13" s="8">
        <f t="shared" si="20"/>
        <v>0.31459725654502935</v>
      </c>
      <c r="AO13" s="8">
        <f t="shared" si="21"/>
        <v>0.13233803019411877</v>
      </c>
      <c r="AP13" s="8">
        <f t="shared" si="22"/>
        <v>4.4112676731372924E-2</v>
      </c>
      <c r="AQ13" s="8">
        <f t="shared" si="23"/>
        <v>0.39011176304645268</v>
      </c>
      <c r="AR13" s="31">
        <f t="shared" si="24"/>
        <v>0.55892098825160375</v>
      </c>
      <c r="AS13" s="8">
        <f t="shared" si="0"/>
        <v>20.090000000000146</v>
      </c>
      <c r="AT13" s="8">
        <f t="shared" si="1"/>
        <v>10.059999999999491</v>
      </c>
      <c r="AU13" s="8">
        <f t="shared" si="25"/>
        <v>21.039032751298201</v>
      </c>
      <c r="AV13" s="15">
        <f t="shared" si="26"/>
        <v>11.009032751297546</v>
      </c>
    </row>
    <row r="14" spans="1:48" x14ac:dyDescent="0.25">
      <c r="A14" t="s">
        <v>29</v>
      </c>
      <c r="C14" t="s">
        <v>32</v>
      </c>
      <c r="D14" t="s">
        <v>33</v>
      </c>
      <c r="U14" s="4">
        <v>2500</v>
      </c>
      <c r="V14" s="7">
        <f t="shared" si="2"/>
        <v>5.5750000000000002</v>
      </c>
      <c r="W14" s="7">
        <f t="shared" si="3"/>
        <v>2.1816615649929121</v>
      </c>
      <c r="X14" s="7">
        <f t="shared" si="4"/>
        <v>2.1816615649929121</v>
      </c>
      <c r="Y14" s="7">
        <f t="shared" si="5"/>
        <v>3.3545228223331018</v>
      </c>
      <c r="Z14" s="7">
        <f t="shared" si="6"/>
        <v>2.1816615649929121</v>
      </c>
      <c r="AA14" s="7">
        <f t="shared" si="7"/>
        <v>2.1816615649929121</v>
      </c>
      <c r="AB14" s="8">
        <f t="shared" si="8"/>
        <v>2.5553917662834715</v>
      </c>
      <c r="AC14" s="8">
        <f t="shared" si="9"/>
        <v>2.5553917662834715</v>
      </c>
      <c r="AD14" s="8">
        <f t="shared" si="10"/>
        <v>1.6619353318701036</v>
      </c>
      <c r="AE14" s="8">
        <f t="shared" si="11"/>
        <v>2.5553917662834715</v>
      </c>
      <c r="AF14" s="8">
        <f t="shared" si="12"/>
        <v>2.5553917662834715</v>
      </c>
      <c r="AG14" s="8">
        <f t="shared" si="13"/>
        <v>5.0698968006128572E-3</v>
      </c>
      <c r="AH14" s="8">
        <f t="shared" si="14"/>
        <v>0.36706052836437081</v>
      </c>
      <c r="AI14" s="8">
        <f t="shared" si="15"/>
        <v>3.25953738503389E-2</v>
      </c>
      <c r="AJ14" s="8">
        <f t="shared" si="16"/>
        <v>3.0419380803677142E-2</v>
      </c>
      <c r="AK14" s="8">
        <f t="shared" si="17"/>
        <v>0.17440444994108228</v>
      </c>
      <c r="AL14" s="8">
        <f t="shared" si="18"/>
        <v>1.5906307599868545E-2</v>
      </c>
      <c r="AM14" s="8">
        <f t="shared" si="19"/>
        <v>8.6654333787598029E-2</v>
      </c>
      <c r="AN14" s="8">
        <f t="shared" si="20"/>
        <v>0.47537731689524593</v>
      </c>
      <c r="AO14" s="8">
        <f t="shared" si="21"/>
        <v>0.19997153950984162</v>
      </c>
      <c r="AP14" s="8">
        <f t="shared" si="22"/>
        <v>6.6657179836613872E-2</v>
      </c>
      <c r="AQ14" s="8">
        <f t="shared" si="23"/>
        <v>0.60954962976008198</v>
      </c>
      <c r="AR14" s="31">
        <f t="shared" si="24"/>
        <v>0.84456667762916793</v>
      </c>
      <c r="AS14" s="8">
        <f t="shared" si="0"/>
        <v>20.090000000000146</v>
      </c>
      <c r="AT14" s="8">
        <f t="shared" si="1"/>
        <v>10.059999999999491</v>
      </c>
      <c r="AU14" s="8">
        <f t="shared" si="25"/>
        <v>21.544116307389395</v>
      </c>
      <c r="AV14" s="15">
        <f t="shared" si="26"/>
        <v>11.51411630738874</v>
      </c>
    </row>
    <row r="15" spans="1:48" x14ac:dyDescent="0.25">
      <c r="A15" t="s">
        <v>31</v>
      </c>
      <c r="U15" s="4">
        <v>3000</v>
      </c>
      <c r="V15" s="7">
        <f t="shared" si="2"/>
        <v>6.69</v>
      </c>
      <c r="W15" s="7">
        <f t="shared" si="3"/>
        <v>2.1816615649929121</v>
      </c>
      <c r="X15" s="7">
        <f t="shared" si="4"/>
        <v>2.1816615649929121</v>
      </c>
      <c r="Y15" s="7">
        <f t="shared" si="5"/>
        <v>3.3545228223331018</v>
      </c>
      <c r="Z15" s="7">
        <f t="shared" si="6"/>
        <v>2.1816615649929121</v>
      </c>
      <c r="AA15" s="7">
        <f t="shared" si="7"/>
        <v>2.1816615649929121</v>
      </c>
      <c r="AB15" s="8">
        <f t="shared" si="8"/>
        <v>3.066470119540166</v>
      </c>
      <c r="AC15" s="8">
        <f t="shared" si="9"/>
        <v>3.066470119540166</v>
      </c>
      <c r="AD15" s="8">
        <f t="shared" si="10"/>
        <v>1.9943223982441243</v>
      </c>
      <c r="AE15" s="8">
        <f t="shared" si="11"/>
        <v>3.066470119540166</v>
      </c>
      <c r="AF15" s="8">
        <f t="shared" si="12"/>
        <v>3.066470119540166</v>
      </c>
      <c r="AG15" s="8">
        <f t="shared" si="13"/>
        <v>7.3006513928825156E-3</v>
      </c>
      <c r="AH15" s="8">
        <f t="shared" si="14"/>
        <v>0.52856716084469413</v>
      </c>
      <c r="AI15" s="8">
        <f t="shared" si="15"/>
        <v>4.6937338344488017E-2</v>
      </c>
      <c r="AJ15" s="8">
        <f t="shared" si="16"/>
        <v>4.3803908357295085E-2</v>
      </c>
      <c r="AK15" s="8">
        <f t="shared" si="17"/>
        <v>0.25114240791515852</v>
      </c>
      <c r="AL15" s="8">
        <f t="shared" si="18"/>
        <v>2.228715748462344E-2</v>
      </c>
      <c r="AM15" s="8">
        <f t="shared" si="19"/>
        <v>0.12141590823160518</v>
      </c>
      <c r="AN15" s="8">
        <f t="shared" si="20"/>
        <v>0.66607596135948299</v>
      </c>
      <c r="AO15" s="8">
        <f t="shared" si="21"/>
        <v>0.28019055745755045</v>
      </c>
      <c r="AP15" s="8">
        <f t="shared" si="22"/>
        <v>9.3396852485850154E-2</v>
      </c>
      <c r="AQ15" s="8">
        <f t="shared" si="23"/>
        <v>0.87775146685451821</v>
      </c>
      <c r="AR15" s="31">
        <f t="shared" si="24"/>
        <v>1.1833664370191121</v>
      </c>
      <c r="AS15" s="8">
        <f t="shared" si="0"/>
        <v>20.090000000000146</v>
      </c>
      <c r="AT15" s="8">
        <f t="shared" si="1"/>
        <v>10.059999999999491</v>
      </c>
      <c r="AU15" s="8">
        <f t="shared" si="25"/>
        <v>22.151117903873775</v>
      </c>
      <c r="AV15" s="15">
        <f t="shared" si="26"/>
        <v>12.12111790387312</v>
      </c>
    </row>
    <row r="16" spans="1:48" x14ac:dyDescent="0.25">
      <c r="U16" s="4">
        <v>3500</v>
      </c>
      <c r="V16" s="7">
        <f t="shared" si="2"/>
        <v>7.8050000000000006</v>
      </c>
      <c r="W16" s="7">
        <f t="shared" si="3"/>
        <v>2.1816615649929121</v>
      </c>
      <c r="X16" s="7">
        <f t="shared" si="4"/>
        <v>2.1816615649929121</v>
      </c>
      <c r="Y16" s="7">
        <f t="shared" si="5"/>
        <v>3.3545228223331018</v>
      </c>
      <c r="Z16" s="7">
        <f t="shared" si="6"/>
        <v>2.1816615649929121</v>
      </c>
      <c r="AA16" s="7">
        <f t="shared" si="7"/>
        <v>2.1816615649929121</v>
      </c>
      <c r="AB16" s="8">
        <f t="shared" si="8"/>
        <v>3.5775484727968601</v>
      </c>
      <c r="AC16" s="8">
        <f t="shared" si="9"/>
        <v>3.5775484727968601</v>
      </c>
      <c r="AD16" s="8">
        <f t="shared" si="10"/>
        <v>2.326709464618145</v>
      </c>
      <c r="AE16" s="8">
        <f t="shared" si="11"/>
        <v>3.5775484727968601</v>
      </c>
      <c r="AF16" s="8">
        <f t="shared" si="12"/>
        <v>3.5775484727968601</v>
      </c>
      <c r="AG16" s="8">
        <f t="shared" si="13"/>
        <v>9.9369977292011989E-3</v>
      </c>
      <c r="AH16" s="8">
        <f t="shared" si="14"/>
        <v>0.71943863559416688</v>
      </c>
      <c r="AI16" s="8">
        <f t="shared" si="15"/>
        <v>6.3886932746664238E-2</v>
      </c>
      <c r="AJ16" s="8">
        <f t="shared" si="16"/>
        <v>5.9621986375207194E-2</v>
      </c>
      <c r="AK16" s="8">
        <f t="shared" si="17"/>
        <v>0.34183272188452124</v>
      </c>
      <c r="AL16" s="8">
        <f t="shared" si="18"/>
        <v>2.9641913984037569E-2</v>
      </c>
      <c r="AM16" s="8">
        <f t="shared" si="19"/>
        <v>0.16148312814579854</v>
      </c>
      <c r="AN16" s="8">
        <f t="shared" si="20"/>
        <v>0.88588086511591735</v>
      </c>
      <c r="AO16" s="8">
        <f t="shared" si="21"/>
        <v>0.37265337264415055</v>
      </c>
      <c r="AP16" s="8">
        <f t="shared" si="22"/>
        <v>0.1242177908813835</v>
      </c>
      <c r="AQ16" s="8">
        <f t="shared" si="23"/>
        <v>1.1947172743297607</v>
      </c>
      <c r="AR16" s="31">
        <f t="shared" si="24"/>
        <v>1.5738770707712875</v>
      </c>
      <c r="AS16" s="8">
        <f t="shared" si="0"/>
        <v>20.090000000000146</v>
      </c>
      <c r="AT16" s="8">
        <f t="shared" si="1"/>
        <v>10.059999999999491</v>
      </c>
      <c r="AU16" s="8">
        <f t="shared" si="25"/>
        <v>22.858594345101196</v>
      </c>
      <c r="AV16" s="15">
        <f t="shared" si="26"/>
        <v>12.828594345100539</v>
      </c>
    </row>
    <row r="17" spans="1:48" x14ac:dyDescent="0.25">
      <c r="A17" s="1" t="s">
        <v>119</v>
      </c>
      <c r="E17" s="1" t="s">
        <v>179</v>
      </c>
      <c r="I17" s="1" t="s">
        <v>118</v>
      </c>
      <c r="M17" s="1" t="s">
        <v>226</v>
      </c>
      <c r="Q17" s="1" t="s">
        <v>117</v>
      </c>
      <c r="U17" s="4">
        <v>4000</v>
      </c>
      <c r="V17" s="7">
        <f t="shared" si="2"/>
        <v>8.9200000000000017</v>
      </c>
      <c r="W17" s="7">
        <f t="shared" si="3"/>
        <v>2.1816615649929121</v>
      </c>
      <c r="X17" s="7">
        <f t="shared" si="4"/>
        <v>2.1816615649929121</v>
      </c>
      <c r="Y17" s="7">
        <f t="shared" si="5"/>
        <v>3.3545228223331018</v>
      </c>
      <c r="Z17" s="7">
        <f t="shared" si="6"/>
        <v>2.1816615649929121</v>
      </c>
      <c r="AA17" s="7">
        <f t="shared" si="7"/>
        <v>2.1816615649929121</v>
      </c>
      <c r="AB17" s="8">
        <f t="shared" si="8"/>
        <v>4.088626826053555</v>
      </c>
      <c r="AC17" s="8">
        <f t="shared" si="9"/>
        <v>4.088626826053555</v>
      </c>
      <c r="AD17" s="8">
        <f t="shared" si="10"/>
        <v>2.6590965309921661</v>
      </c>
      <c r="AE17" s="8">
        <f t="shared" si="11"/>
        <v>4.088626826053555</v>
      </c>
      <c r="AF17" s="8">
        <f t="shared" si="12"/>
        <v>4.088626826053555</v>
      </c>
      <c r="AG17" s="8">
        <f t="shared" si="13"/>
        <v>1.2978935809568919E-2</v>
      </c>
      <c r="AH17" s="8">
        <f t="shared" si="14"/>
        <v>0.93967495261278977</v>
      </c>
      <c r="AI17" s="8">
        <f t="shared" si="15"/>
        <v>8.3444157056867613E-2</v>
      </c>
      <c r="AJ17" s="8">
        <f t="shared" si="16"/>
        <v>7.7873614857413509E-2</v>
      </c>
      <c r="AK17" s="8">
        <f t="shared" si="17"/>
        <v>0.44647539184917079</v>
      </c>
      <c r="AL17" s="8">
        <f t="shared" si="18"/>
        <v>3.7948214312998878E-2</v>
      </c>
      <c r="AM17" s="8">
        <f t="shared" si="19"/>
        <v>0.20673416561798957</v>
      </c>
      <c r="AN17" s="8">
        <f t="shared" si="20"/>
        <v>1.1341236919892237</v>
      </c>
      <c r="AO17" s="8">
        <f t="shared" si="21"/>
        <v>0.47707884373382214</v>
      </c>
      <c r="AP17" s="8">
        <f t="shared" si="22"/>
        <v>0.15902628124460738</v>
      </c>
      <c r="AQ17" s="8">
        <f t="shared" si="23"/>
        <v>1.5604470521858107</v>
      </c>
      <c r="AR17" s="31">
        <f t="shared" si="24"/>
        <v>2.014911196898642</v>
      </c>
      <c r="AS17" s="8">
        <f t="shared" si="0"/>
        <v>20.090000000000146</v>
      </c>
      <c r="AT17" s="8">
        <f t="shared" si="1"/>
        <v>10.059999999999491</v>
      </c>
      <c r="AU17" s="8">
        <f t="shared" si="25"/>
        <v>23.665358249084598</v>
      </c>
      <c r="AV17" s="15">
        <f t="shared" si="26"/>
        <v>13.635358249083943</v>
      </c>
    </row>
    <row r="18" spans="1:48" x14ac:dyDescent="0.25">
      <c r="A18" s="5" t="s">
        <v>34</v>
      </c>
      <c r="E18" s="5" t="s">
        <v>34</v>
      </c>
      <c r="I18" s="5" t="s">
        <v>34</v>
      </c>
      <c r="M18" s="5" t="s">
        <v>34</v>
      </c>
      <c r="Q18" s="5" t="s">
        <v>34</v>
      </c>
      <c r="U18" s="4">
        <v>4500</v>
      </c>
      <c r="V18" s="7">
        <f t="shared" si="2"/>
        <v>10.035</v>
      </c>
      <c r="W18" s="7">
        <f t="shared" si="3"/>
        <v>2.1816615649929121</v>
      </c>
      <c r="X18" s="7">
        <f t="shared" si="4"/>
        <v>2.1816615649929121</v>
      </c>
      <c r="Y18" s="7">
        <f t="shared" si="5"/>
        <v>3.3545228223331018</v>
      </c>
      <c r="Z18" s="7">
        <f t="shared" si="6"/>
        <v>2.1816615649929121</v>
      </c>
      <c r="AA18" s="7">
        <f t="shared" si="7"/>
        <v>2.1816615649929121</v>
      </c>
      <c r="AB18" s="8">
        <f t="shared" si="8"/>
        <v>4.5997051793102486</v>
      </c>
      <c r="AC18" s="8">
        <f t="shared" si="9"/>
        <v>4.5997051793102486</v>
      </c>
      <c r="AD18" s="8">
        <f t="shared" si="10"/>
        <v>2.9914835973661864</v>
      </c>
      <c r="AE18" s="8">
        <f t="shared" si="11"/>
        <v>4.5997051793102486</v>
      </c>
      <c r="AF18" s="8">
        <f t="shared" si="12"/>
        <v>4.5997051793102486</v>
      </c>
      <c r="AG18" s="8">
        <f t="shared" si="13"/>
        <v>1.6426465633985657E-2</v>
      </c>
      <c r="AH18" s="8">
        <f t="shared" si="14"/>
        <v>1.1892761119005615</v>
      </c>
      <c r="AI18" s="8">
        <f t="shared" si="15"/>
        <v>0.10560901127509803</v>
      </c>
      <c r="AJ18" s="8">
        <f t="shared" si="16"/>
        <v>9.8558793803913927E-2</v>
      </c>
      <c r="AK18" s="8">
        <f t="shared" si="17"/>
        <v>0.56507041780910661</v>
      </c>
      <c r="AL18" s="8">
        <f t="shared" si="18"/>
        <v>4.7187124295268439E-2</v>
      </c>
      <c r="AM18" s="8">
        <f t="shared" si="19"/>
        <v>0.25706587110089968</v>
      </c>
      <c r="AN18" s="8">
        <f t="shared" si="20"/>
        <v>1.4102385735123437</v>
      </c>
      <c r="AO18" s="8">
        <f t="shared" si="21"/>
        <v>0.59322893330976856</v>
      </c>
      <c r="AP18" s="8">
        <f t="shared" si="22"/>
        <v>0.19774297776992283</v>
      </c>
      <c r="AQ18" s="8">
        <f t="shared" si="23"/>
        <v>1.9749408004226656</v>
      </c>
      <c r="AR18" s="31">
        <f t="shared" si="24"/>
        <v>2.5054634799882032</v>
      </c>
      <c r="AS18" s="8">
        <f t="shared" si="0"/>
        <v>20.090000000000146</v>
      </c>
      <c r="AT18" s="8">
        <f t="shared" si="1"/>
        <v>10.059999999999491</v>
      </c>
      <c r="AU18" s="8">
        <f t="shared" si="25"/>
        <v>24.570404280411015</v>
      </c>
      <c r="AV18" s="15">
        <f t="shared" si="26"/>
        <v>14.54040428041036</v>
      </c>
    </row>
    <row r="19" spans="1:48" x14ac:dyDescent="0.25">
      <c r="A19" t="s">
        <v>35</v>
      </c>
      <c r="C19" s="6">
        <v>12</v>
      </c>
      <c r="E19" t="s">
        <v>35</v>
      </c>
      <c r="G19" s="6">
        <v>65</v>
      </c>
      <c r="I19" t="s">
        <v>35</v>
      </c>
      <c r="K19" s="6">
        <v>1352</v>
      </c>
      <c r="L19" t="s">
        <v>17</v>
      </c>
      <c r="M19" t="s">
        <v>35</v>
      </c>
      <c r="N19" s="6">
        <v>150</v>
      </c>
      <c r="O19" t="s">
        <v>17</v>
      </c>
      <c r="Q19" t="s">
        <v>35</v>
      </c>
      <c r="R19" s="6">
        <v>50</v>
      </c>
      <c r="S19" t="s">
        <v>17</v>
      </c>
      <c r="U19" s="4">
        <v>5000</v>
      </c>
      <c r="V19" s="9">
        <f t="shared" si="2"/>
        <v>11.15</v>
      </c>
      <c r="W19" s="7">
        <f t="shared" si="3"/>
        <v>2.1816615649929121</v>
      </c>
      <c r="X19" s="7">
        <f t="shared" si="4"/>
        <v>2.1816615649929121</v>
      </c>
      <c r="Y19" s="7">
        <f t="shared" si="5"/>
        <v>3.3545228223331018</v>
      </c>
      <c r="Z19" s="7">
        <f t="shared" si="6"/>
        <v>2.1816615649929121</v>
      </c>
      <c r="AA19" s="7">
        <f t="shared" si="7"/>
        <v>2.1816615649929121</v>
      </c>
      <c r="AB19" s="10">
        <f t="shared" si="8"/>
        <v>5.1107835325669431</v>
      </c>
      <c r="AC19" s="10">
        <f t="shared" si="9"/>
        <v>5.1107835325669431</v>
      </c>
      <c r="AD19" s="8">
        <f t="shared" si="10"/>
        <v>3.3238706637402071</v>
      </c>
      <c r="AE19" s="8">
        <f t="shared" si="11"/>
        <v>5.1107835325669431</v>
      </c>
      <c r="AF19" s="8">
        <f t="shared" si="12"/>
        <v>5.1107835325669431</v>
      </c>
      <c r="AG19" s="8">
        <f t="shared" si="13"/>
        <v>2.0279587202451429E-2</v>
      </c>
      <c r="AH19" s="8">
        <f t="shared" si="14"/>
        <v>1.4682421134574832</v>
      </c>
      <c r="AI19" s="8">
        <f t="shared" si="15"/>
        <v>0.1303814954013556</v>
      </c>
      <c r="AJ19" s="8">
        <f t="shared" si="16"/>
        <v>0.12167752321470857</v>
      </c>
      <c r="AK19" s="8">
        <f t="shared" si="17"/>
        <v>0.69761779976432914</v>
      </c>
      <c r="AL19" s="8">
        <f t="shared" si="18"/>
        <v>5.7342268331246796E-2</v>
      </c>
      <c r="AM19" s="8">
        <f t="shared" si="19"/>
        <v>0.31238903365322429</v>
      </c>
      <c r="AN19" s="8">
        <f t="shared" si="20"/>
        <v>1.7137361070661421</v>
      </c>
      <c r="AO19" s="8">
        <f t="shared" si="21"/>
        <v>0.72089776996897914</v>
      </c>
      <c r="AP19" s="8">
        <f t="shared" si="22"/>
        <v>0.24029925665632637</v>
      </c>
      <c r="AQ19" s="8">
        <f t="shared" si="23"/>
        <v>2.4381985190403279</v>
      </c>
      <c r="AR19" s="31">
        <f t="shared" si="24"/>
        <v>3.0446644356759185</v>
      </c>
      <c r="AS19" s="10">
        <f t="shared" si="0"/>
        <v>20.090000000000146</v>
      </c>
      <c r="AT19" s="8">
        <f t="shared" si="1"/>
        <v>10.059999999999491</v>
      </c>
      <c r="AU19" s="8">
        <f t="shared" si="25"/>
        <v>25.572862954716392</v>
      </c>
      <c r="AV19" s="15">
        <f t="shared" si="26"/>
        <v>15.542862954715737</v>
      </c>
    </row>
    <row r="20" spans="1:48" x14ac:dyDescent="0.25">
      <c r="A20" t="s">
        <v>36</v>
      </c>
      <c r="C20" s="6">
        <v>20</v>
      </c>
      <c r="E20" t="s">
        <v>36</v>
      </c>
      <c r="G20" s="6">
        <v>20</v>
      </c>
      <c r="I20" t="s">
        <v>36</v>
      </c>
      <c r="K20" s="6">
        <v>24.8</v>
      </c>
      <c r="L20" t="s">
        <v>37</v>
      </c>
      <c r="M20" t="s">
        <v>36</v>
      </c>
      <c r="N20" s="6">
        <v>20</v>
      </c>
      <c r="O20" t="s">
        <v>37</v>
      </c>
      <c r="Q20" t="s">
        <v>36</v>
      </c>
      <c r="R20" s="6">
        <v>20</v>
      </c>
      <c r="S20" t="s">
        <v>37</v>
      </c>
      <c r="U20" s="4">
        <v>5500</v>
      </c>
      <c r="V20" s="7">
        <f t="shared" si="2"/>
        <v>12.265000000000001</v>
      </c>
      <c r="W20" s="7">
        <f t="shared" si="3"/>
        <v>2.1816615649929121</v>
      </c>
      <c r="X20" s="7">
        <f t="shared" si="4"/>
        <v>2.1816615649929121</v>
      </c>
      <c r="Y20" s="7">
        <f t="shared" si="5"/>
        <v>3.3545228223331018</v>
      </c>
      <c r="Z20" s="7">
        <f t="shared" si="6"/>
        <v>2.1816615649929121</v>
      </c>
      <c r="AA20" s="7">
        <f t="shared" si="7"/>
        <v>2.1816615649929121</v>
      </c>
      <c r="AB20" s="8">
        <f t="shared" si="8"/>
        <v>5.6218618858236376</v>
      </c>
      <c r="AC20" s="8">
        <f t="shared" si="9"/>
        <v>5.6218618858236376</v>
      </c>
      <c r="AD20" s="8">
        <f t="shared" si="10"/>
        <v>3.6562577301142278</v>
      </c>
      <c r="AE20" s="8">
        <f t="shared" si="11"/>
        <v>5.6218618858236376</v>
      </c>
      <c r="AF20" s="8">
        <f t="shared" si="12"/>
        <v>5.6218618858236376</v>
      </c>
      <c r="AG20" s="8">
        <f t="shared" si="13"/>
        <v>2.4538300514966232E-2</v>
      </c>
      <c r="AH20" s="8">
        <f t="shared" si="14"/>
        <v>1.7765729572835549</v>
      </c>
      <c r="AI20" s="8">
        <f t="shared" si="15"/>
        <v>0.1577616094356403</v>
      </c>
      <c r="AJ20" s="8">
        <f t="shared" si="16"/>
        <v>0.14722980308979736</v>
      </c>
      <c r="AK20" s="8">
        <f t="shared" si="17"/>
        <v>0.84411753771483822</v>
      </c>
      <c r="AL20" s="8">
        <f t="shared" si="18"/>
        <v>6.8399249450879981E-2</v>
      </c>
      <c r="AM20" s="8">
        <f t="shared" si="19"/>
        <v>0.37262522150563204</v>
      </c>
      <c r="AN20" s="8">
        <f t="shared" si="20"/>
        <v>2.0441860235292202</v>
      </c>
      <c r="AO20" s="8">
        <f t="shared" si="21"/>
        <v>0.85990435732068948</v>
      </c>
      <c r="AP20" s="8">
        <f t="shared" si="22"/>
        <v>0.28663478577356316</v>
      </c>
      <c r="AQ20" s="8">
        <f t="shared" si="23"/>
        <v>2.9502202080387967</v>
      </c>
      <c r="AR20" s="31">
        <f t="shared" si="24"/>
        <v>3.6317496375799845</v>
      </c>
      <c r="AS20" s="8">
        <f t="shared" si="0"/>
        <v>20.090000000000146</v>
      </c>
      <c r="AT20" s="8">
        <f t="shared" si="1"/>
        <v>10.059999999999491</v>
      </c>
      <c r="AU20" s="8">
        <f t="shared" si="25"/>
        <v>26.671969845618925</v>
      </c>
      <c r="AV20" s="15">
        <f t="shared" si="26"/>
        <v>16.64196984561827</v>
      </c>
    </row>
    <row r="21" spans="1:48" x14ac:dyDescent="0.25">
      <c r="A21" t="s">
        <v>38</v>
      </c>
      <c r="C21" s="40">
        <v>120</v>
      </c>
      <c r="E21" t="s">
        <v>38</v>
      </c>
      <c r="G21" s="40">
        <v>120</v>
      </c>
      <c r="I21" t="s">
        <v>38</v>
      </c>
      <c r="K21" s="40">
        <v>140</v>
      </c>
      <c r="M21" t="s">
        <v>38</v>
      </c>
      <c r="N21" s="40">
        <v>120</v>
      </c>
      <c r="Q21" t="s">
        <v>38</v>
      </c>
      <c r="R21" s="40">
        <v>120</v>
      </c>
      <c r="U21" s="4">
        <v>6000</v>
      </c>
      <c r="V21" s="7">
        <f t="shared" si="2"/>
        <v>13.38</v>
      </c>
      <c r="W21" s="7">
        <f t="shared" si="3"/>
        <v>2.1816615649929121</v>
      </c>
      <c r="X21" s="7">
        <f t="shared" si="4"/>
        <v>2.1816615649929121</v>
      </c>
      <c r="Y21" s="7">
        <f t="shared" si="5"/>
        <v>3.3545228223331018</v>
      </c>
      <c r="Z21" s="7">
        <f t="shared" si="6"/>
        <v>2.1816615649929121</v>
      </c>
      <c r="AA21" s="7">
        <f t="shared" si="7"/>
        <v>2.1816615649929121</v>
      </c>
      <c r="AB21" s="8">
        <f t="shared" si="8"/>
        <v>6.132940239080332</v>
      </c>
      <c r="AC21" s="8">
        <f t="shared" si="9"/>
        <v>6.132940239080332</v>
      </c>
      <c r="AD21" s="8">
        <f t="shared" si="10"/>
        <v>3.9886447964882485</v>
      </c>
      <c r="AE21" s="8">
        <f t="shared" si="11"/>
        <v>6.132940239080332</v>
      </c>
      <c r="AF21" s="8">
        <f t="shared" si="12"/>
        <v>6.132940239080332</v>
      </c>
      <c r="AG21" s="8">
        <f t="shared" si="13"/>
        <v>2.9202605571530062E-2</v>
      </c>
      <c r="AH21" s="8">
        <f t="shared" si="14"/>
        <v>2.1142686433787765</v>
      </c>
      <c r="AI21" s="8">
        <f t="shared" si="15"/>
        <v>0.18774935337795207</v>
      </c>
      <c r="AJ21" s="8">
        <f t="shared" si="16"/>
        <v>0.17521563342918034</v>
      </c>
      <c r="AK21" s="8">
        <f t="shared" si="17"/>
        <v>1.0045696316606341</v>
      </c>
      <c r="AL21" s="8">
        <f t="shared" si="18"/>
        <v>8.0345243973189262E-2</v>
      </c>
      <c r="AM21" s="8">
        <f t="shared" si="19"/>
        <v>0.43770457384819345</v>
      </c>
      <c r="AN21" s="8">
        <f t="shared" si="20"/>
        <v>2.4012050732367469</v>
      </c>
      <c r="AO21" s="8">
        <f t="shared" si="21"/>
        <v>1.0100874781112157</v>
      </c>
      <c r="AP21" s="8">
        <f t="shared" si="22"/>
        <v>0.33669582603707188</v>
      </c>
      <c r="AQ21" s="8">
        <f t="shared" si="23"/>
        <v>3.5110058674180729</v>
      </c>
      <c r="AR21" s="31">
        <f t="shared" si="24"/>
        <v>4.2660381952064172</v>
      </c>
      <c r="AS21" s="8">
        <f t="shared" si="0"/>
        <v>20.090000000000146</v>
      </c>
      <c r="AT21" s="8">
        <f t="shared" si="1"/>
        <v>10.059999999999491</v>
      </c>
      <c r="AU21" s="8">
        <f t="shared" si="25"/>
        <v>27.867044062624636</v>
      </c>
      <c r="AV21" s="15">
        <f t="shared" si="26"/>
        <v>17.837044062623981</v>
      </c>
    </row>
    <row r="22" spans="1:48" x14ac:dyDescent="0.25"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U22" s="4">
        <v>6500</v>
      </c>
      <c r="V22" s="7">
        <f t="shared" si="2"/>
        <v>14.495000000000001</v>
      </c>
      <c r="W22" s="7">
        <f t="shared" si="3"/>
        <v>2.1816615649929121</v>
      </c>
      <c r="X22" s="7">
        <f t="shared" si="4"/>
        <v>2.1816615649929121</v>
      </c>
      <c r="Y22" s="7">
        <f t="shared" si="5"/>
        <v>3.3545228223331018</v>
      </c>
      <c r="Z22" s="7">
        <f t="shared" si="6"/>
        <v>2.1816615649929121</v>
      </c>
      <c r="AA22" s="7">
        <f t="shared" si="7"/>
        <v>2.1816615649929121</v>
      </c>
      <c r="AB22" s="8">
        <f t="shared" si="8"/>
        <v>6.6440185923370256</v>
      </c>
      <c r="AC22" s="8">
        <f t="shared" si="9"/>
        <v>6.6440185923370256</v>
      </c>
      <c r="AD22" s="8">
        <f t="shared" si="10"/>
        <v>4.3210318628622693</v>
      </c>
      <c r="AE22" s="8">
        <f t="shared" si="11"/>
        <v>6.6440185923370256</v>
      </c>
      <c r="AF22" s="8">
        <f t="shared" si="12"/>
        <v>6.6440185923370256</v>
      </c>
      <c r="AG22" s="8">
        <f t="shared" si="13"/>
        <v>3.427250237214291E-2</v>
      </c>
      <c r="AH22" s="8">
        <f t="shared" si="14"/>
        <v>2.4813291717431469</v>
      </c>
      <c r="AI22" s="8">
        <f t="shared" si="15"/>
        <v>0.22034472722829096</v>
      </c>
      <c r="AJ22" s="8">
        <f t="shared" si="16"/>
        <v>0.20563501423285746</v>
      </c>
      <c r="AK22" s="8">
        <f t="shared" si="17"/>
        <v>1.1789740816017162</v>
      </c>
      <c r="AL22" s="8">
        <f t="shared" si="18"/>
        <v>9.3168707442220791E-2</v>
      </c>
      <c r="AM22" s="8">
        <f t="shared" si="19"/>
        <v>0.50756419882914816</v>
      </c>
      <c r="AN22" s="8">
        <f t="shared" si="20"/>
        <v>2.7844482375562154</v>
      </c>
      <c r="AO22" s="8">
        <f t="shared" si="21"/>
        <v>1.1713019972980343</v>
      </c>
      <c r="AP22" s="8">
        <f t="shared" si="22"/>
        <v>0.39043399909934479</v>
      </c>
      <c r="AQ22" s="8">
        <f t="shared" si="23"/>
        <v>4.1205554971781542</v>
      </c>
      <c r="AR22" s="31">
        <f t="shared" si="24"/>
        <v>4.9469171402249632</v>
      </c>
      <c r="AS22" s="8">
        <f t="shared" si="0"/>
        <v>20.090000000000146</v>
      </c>
      <c r="AT22" s="8">
        <f t="shared" si="1"/>
        <v>10.059999999999491</v>
      </c>
      <c r="AU22" s="8">
        <f t="shared" si="25"/>
        <v>29.157472637403263</v>
      </c>
      <c r="AV22" s="15">
        <f t="shared" si="26"/>
        <v>19.127472637402608</v>
      </c>
    </row>
    <row r="23" spans="1:48" x14ac:dyDescent="0.25">
      <c r="U23" s="4">
        <v>7000</v>
      </c>
      <c r="V23" s="7">
        <f t="shared" si="2"/>
        <v>15.610000000000001</v>
      </c>
      <c r="W23" s="7">
        <f t="shared" si="3"/>
        <v>2.1816615649929121</v>
      </c>
      <c r="X23" s="7">
        <f t="shared" si="4"/>
        <v>2.1816615649929121</v>
      </c>
      <c r="Y23" s="7">
        <f t="shared" si="5"/>
        <v>3.3545228223331018</v>
      </c>
      <c r="Z23" s="7">
        <f t="shared" si="6"/>
        <v>2.1816615649929121</v>
      </c>
      <c r="AA23" s="7">
        <f t="shared" si="7"/>
        <v>2.1816615649929121</v>
      </c>
      <c r="AB23" s="8">
        <f t="shared" si="8"/>
        <v>7.1550969455937201</v>
      </c>
      <c r="AC23" s="8">
        <f t="shared" si="9"/>
        <v>7.1550969455937201</v>
      </c>
      <c r="AD23" s="8">
        <f t="shared" si="10"/>
        <v>4.65341892923629</v>
      </c>
      <c r="AE23" s="8">
        <f t="shared" si="11"/>
        <v>7.1550969455937201</v>
      </c>
      <c r="AF23" s="8">
        <f t="shared" si="12"/>
        <v>7.1550969455937201</v>
      </c>
      <c r="AG23" s="8">
        <f t="shared" si="13"/>
        <v>3.9747990916804796E-2</v>
      </c>
      <c r="AH23" s="8">
        <f t="shared" si="14"/>
        <v>2.8777545423766675</v>
      </c>
      <c r="AI23" s="8">
        <f t="shared" si="15"/>
        <v>0.25554773098665695</v>
      </c>
      <c r="AJ23" s="8">
        <f t="shared" si="16"/>
        <v>0.23848794550082877</v>
      </c>
      <c r="AK23" s="8">
        <f t="shared" si="17"/>
        <v>1.367330887538085</v>
      </c>
      <c r="AL23" s="8">
        <f t="shared" si="18"/>
        <v>0.10685915476313726</v>
      </c>
      <c r="AM23" s="8">
        <f t="shared" si="19"/>
        <v>0.58214697578098007</v>
      </c>
      <c r="AN23" s="8">
        <f t="shared" si="20"/>
        <v>3.1936021580152145</v>
      </c>
      <c r="AO23" s="8">
        <f t="shared" si="21"/>
        <v>1.3434160979561078</v>
      </c>
      <c r="AP23" s="8">
        <f t="shared" si="22"/>
        <v>0.4478053659853693</v>
      </c>
      <c r="AQ23" s="8">
        <f t="shared" si="23"/>
        <v>4.7788690973190429</v>
      </c>
      <c r="AR23" s="31">
        <f t="shared" si="24"/>
        <v>5.6738297525008088</v>
      </c>
      <c r="AS23" s="8">
        <f t="shared" si="0"/>
        <v>20.090000000000146</v>
      </c>
      <c r="AT23" s="8">
        <f t="shared" si="1"/>
        <v>10.059999999999491</v>
      </c>
      <c r="AU23" s="8">
        <f t="shared" si="25"/>
        <v>30.542698849819999</v>
      </c>
      <c r="AV23" s="15">
        <f t="shared" si="26"/>
        <v>20.512698849819344</v>
      </c>
    </row>
    <row r="24" spans="1:48" x14ac:dyDescent="0.25">
      <c r="U24" s="4">
        <v>7500</v>
      </c>
      <c r="V24" s="7">
        <f t="shared" si="2"/>
        <v>16.725000000000001</v>
      </c>
      <c r="W24" s="7">
        <f t="shared" si="3"/>
        <v>2.1816615649929121</v>
      </c>
      <c r="X24" s="7">
        <f t="shared" si="4"/>
        <v>2.1816615649929121</v>
      </c>
      <c r="Y24" s="7">
        <f t="shared" si="5"/>
        <v>3.3545228223331018</v>
      </c>
      <c r="Z24" s="7">
        <f t="shared" si="6"/>
        <v>2.1816615649929121</v>
      </c>
      <c r="AA24" s="7">
        <f t="shared" si="7"/>
        <v>2.1816615649929121</v>
      </c>
      <c r="AB24" s="8">
        <f t="shared" si="8"/>
        <v>7.6661752988504146</v>
      </c>
      <c r="AC24" s="8">
        <f t="shared" si="9"/>
        <v>7.6661752988504146</v>
      </c>
      <c r="AD24" s="8">
        <f t="shared" si="10"/>
        <v>4.9858059956103107</v>
      </c>
      <c r="AE24" s="8">
        <f t="shared" si="11"/>
        <v>7.6661752988504146</v>
      </c>
      <c r="AF24" s="8">
        <f t="shared" si="12"/>
        <v>7.6661752988504146</v>
      </c>
      <c r="AG24" s="8">
        <f t="shared" si="13"/>
        <v>4.5629071205515716E-2</v>
      </c>
      <c r="AH24" s="8">
        <f t="shared" si="14"/>
        <v>3.3035447552793378</v>
      </c>
      <c r="AI24" s="8">
        <f t="shared" si="15"/>
        <v>0.2933583646530501</v>
      </c>
      <c r="AJ24" s="8">
        <f t="shared" si="16"/>
        <v>0.27377442723309425</v>
      </c>
      <c r="AK24" s="8">
        <f t="shared" si="17"/>
        <v>1.5696400494697407</v>
      </c>
      <c r="AL24" s="8">
        <f t="shared" si="18"/>
        <v>0.12140699167159372</v>
      </c>
      <c r="AM24" s="8">
        <f t="shared" si="19"/>
        <v>0.66140063709979813</v>
      </c>
      <c r="AN24" s="8">
        <f t="shared" si="20"/>
        <v>3.6283800995802831</v>
      </c>
      <c r="AO24" s="8">
        <f t="shared" si="21"/>
        <v>1.5263091625379959</v>
      </c>
      <c r="AP24" s="8">
        <f t="shared" si="22"/>
        <v>0.50876972084599859</v>
      </c>
      <c r="AQ24" s="8">
        <f t="shared" si="23"/>
        <v>5.4859466678407385</v>
      </c>
      <c r="AR24" s="31">
        <f t="shared" si="24"/>
        <v>6.4462666117356697</v>
      </c>
      <c r="AS24" s="8">
        <f t="shared" si="0"/>
        <v>20.090000000000146</v>
      </c>
      <c r="AT24" s="8">
        <f t="shared" si="1"/>
        <v>10.059999999999491</v>
      </c>
      <c r="AU24" s="8">
        <f t="shared" si="25"/>
        <v>32.022213279576555</v>
      </c>
      <c r="AV24" s="15">
        <f t="shared" si="26"/>
        <v>21.9922132795759</v>
      </c>
    </row>
    <row r="25" spans="1:48" x14ac:dyDescent="0.25">
      <c r="U25" s="4">
        <v>8000</v>
      </c>
      <c r="V25" s="7">
        <f t="shared" si="2"/>
        <v>17.840000000000003</v>
      </c>
      <c r="W25" s="7">
        <f t="shared" si="3"/>
        <v>2.1816615649929121</v>
      </c>
      <c r="X25" s="7">
        <f t="shared" si="4"/>
        <v>2.1816615649929121</v>
      </c>
      <c r="Y25" s="7">
        <f t="shared" si="5"/>
        <v>3.3545228223331018</v>
      </c>
      <c r="Z25" s="7">
        <f t="shared" si="6"/>
        <v>2.1816615649929121</v>
      </c>
      <c r="AA25" s="7">
        <f t="shared" si="7"/>
        <v>2.1816615649929121</v>
      </c>
      <c r="AB25" s="8">
        <f t="shared" si="8"/>
        <v>8.17725365210711</v>
      </c>
      <c r="AC25" s="8">
        <f t="shared" si="9"/>
        <v>8.17725365210711</v>
      </c>
      <c r="AD25" s="8">
        <f t="shared" si="10"/>
        <v>5.3181930619843323</v>
      </c>
      <c r="AE25" s="8">
        <f t="shared" si="11"/>
        <v>8.17725365210711</v>
      </c>
      <c r="AF25" s="8">
        <f t="shared" si="12"/>
        <v>8.17725365210711</v>
      </c>
      <c r="AG25" s="8">
        <f t="shared" si="13"/>
        <v>5.1915743238275677E-2</v>
      </c>
      <c r="AH25" s="8">
        <f t="shared" si="14"/>
        <v>3.7586998104511591</v>
      </c>
      <c r="AI25" s="8">
        <f t="shared" si="15"/>
        <v>0.33377662822747045</v>
      </c>
      <c r="AJ25" s="8">
        <f t="shared" si="16"/>
        <v>0.31149445942965404</v>
      </c>
      <c r="AK25" s="8">
        <f t="shared" si="17"/>
        <v>1.7859015673966832</v>
      </c>
      <c r="AL25" s="8">
        <f t="shared" si="18"/>
        <v>0.13680338281938079</v>
      </c>
      <c r="AM25" s="8">
        <f t="shared" si="19"/>
        <v>0.74527704960270891</v>
      </c>
      <c r="AN25" s="8">
        <f t="shared" si="20"/>
        <v>4.0885180082527652</v>
      </c>
      <c r="AO25" s="8">
        <f t="shared" si="21"/>
        <v>1.7198701144677901</v>
      </c>
      <c r="AP25" s="8">
        <f t="shared" si="22"/>
        <v>0.57329003815593005</v>
      </c>
      <c r="AQ25" s="8">
        <f t="shared" si="23"/>
        <v>6.2417882087432428</v>
      </c>
      <c r="AR25" s="31">
        <f t="shared" si="24"/>
        <v>7.2637585932985749</v>
      </c>
      <c r="AS25" s="8">
        <f t="shared" si="0"/>
        <v>20.090000000000146</v>
      </c>
      <c r="AT25" s="8">
        <f t="shared" si="1"/>
        <v>10.059999999999491</v>
      </c>
      <c r="AU25" s="8">
        <f t="shared" si="25"/>
        <v>33.595546802041966</v>
      </c>
      <c r="AV25" s="15">
        <f t="shared" si="26"/>
        <v>23.565546802041307</v>
      </c>
    </row>
    <row r="26" spans="1:48" x14ac:dyDescent="0.25">
      <c r="U26" s="4">
        <v>8500</v>
      </c>
      <c r="V26" s="7">
        <f t="shared" si="2"/>
        <v>18.955000000000002</v>
      </c>
      <c r="W26" s="7">
        <f t="shared" si="3"/>
        <v>2.1816615649929121</v>
      </c>
      <c r="X26" s="7">
        <f t="shared" si="4"/>
        <v>2.1816615649929121</v>
      </c>
      <c r="Y26" s="7">
        <f t="shared" si="5"/>
        <v>3.3545228223331018</v>
      </c>
      <c r="Z26" s="7">
        <f t="shared" si="6"/>
        <v>2.1816615649929121</v>
      </c>
      <c r="AA26" s="7">
        <f t="shared" si="7"/>
        <v>2.1816615649929121</v>
      </c>
      <c r="AB26" s="8">
        <f t="shared" si="8"/>
        <v>8.6883320053638027</v>
      </c>
      <c r="AC26" s="8">
        <f t="shared" si="9"/>
        <v>8.6883320053638027</v>
      </c>
      <c r="AD26" s="8">
        <f t="shared" si="10"/>
        <v>5.650580128358353</v>
      </c>
      <c r="AE26" s="8">
        <f t="shared" si="11"/>
        <v>8.6883320053638027</v>
      </c>
      <c r="AF26" s="8">
        <f t="shared" si="12"/>
        <v>8.6883320053638027</v>
      </c>
      <c r="AG26" s="8">
        <f t="shared" si="13"/>
        <v>5.8608007015084618E-2</v>
      </c>
      <c r="AH26" s="8">
        <f t="shared" si="14"/>
        <v>4.2432197078921261</v>
      </c>
      <c r="AI26" s="8">
        <f t="shared" si="15"/>
        <v>0.37680252170991779</v>
      </c>
      <c r="AJ26" s="8">
        <f t="shared" si="16"/>
        <v>0.35164804209050765</v>
      </c>
      <c r="AK26" s="8">
        <f t="shared" si="17"/>
        <v>2.0161154413189109</v>
      </c>
      <c r="AL26" s="8">
        <f t="shared" si="18"/>
        <v>0.15304014666181714</v>
      </c>
      <c r="AM26" s="8">
        <f t="shared" si="19"/>
        <v>0.83373164189567528</v>
      </c>
      <c r="AN26" s="8">
        <f t="shared" si="20"/>
        <v>4.5737713696641169</v>
      </c>
      <c r="AO26" s="8">
        <f t="shared" si="21"/>
        <v>1.9239960966823277</v>
      </c>
      <c r="AP26" s="8">
        <f t="shared" si="22"/>
        <v>0.64133203222744262</v>
      </c>
      <c r="AQ26" s="8">
        <f t="shared" si="23"/>
        <v>7.046393720026547</v>
      </c>
      <c r="AR26" s="31">
        <f t="shared" si="24"/>
        <v>8.1258712871313801</v>
      </c>
      <c r="AS26" s="8">
        <f t="shared" si="0"/>
        <v>20.090000000000146</v>
      </c>
      <c r="AT26" s="8">
        <f t="shared" si="1"/>
        <v>10.059999999999491</v>
      </c>
      <c r="AU26" s="8">
        <f t="shared" si="25"/>
        <v>35.262265007158071</v>
      </c>
      <c r="AV26" s="15">
        <f t="shared" si="26"/>
        <v>25.232265007157416</v>
      </c>
    </row>
    <row r="27" spans="1:48" x14ac:dyDescent="0.25">
      <c r="A27" s="1" t="s">
        <v>39</v>
      </c>
      <c r="B27" s="37" t="s">
        <v>40</v>
      </c>
      <c r="C27" t="s">
        <v>42</v>
      </c>
      <c r="E27" s="1" t="s">
        <v>39</v>
      </c>
      <c r="F27" s="37" t="s">
        <v>40</v>
      </c>
      <c r="G27" t="s">
        <v>42</v>
      </c>
      <c r="I27" s="1" t="s">
        <v>39</v>
      </c>
      <c r="J27" s="37" t="s">
        <v>40</v>
      </c>
      <c r="M27" s="1" t="s">
        <v>39</v>
      </c>
      <c r="N27" s="37" t="s">
        <v>40</v>
      </c>
      <c r="Q27" s="1" t="s">
        <v>39</v>
      </c>
      <c r="R27" s="37" t="s">
        <v>40</v>
      </c>
      <c r="U27" s="4">
        <v>9000</v>
      </c>
      <c r="V27" s="7">
        <f t="shared" si="2"/>
        <v>20.07</v>
      </c>
      <c r="W27" s="7">
        <f t="shared" si="3"/>
        <v>2.1816615649929121</v>
      </c>
      <c r="X27" s="7">
        <f t="shared" si="4"/>
        <v>2.1816615649929121</v>
      </c>
      <c r="Y27" s="7">
        <f t="shared" si="5"/>
        <v>3.3545228223331018</v>
      </c>
      <c r="Z27" s="7">
        <f t="shared" si="6"/>
        <v>2.1816615649929121</v>
      </c>
      <c r="AA27" s="7">
        <f t="shared" si="7"/>
        <v>2.1816615649929121</v>
      </c>
      <c r="AB27" s="8">
        <f t="shared" si="8"/>
        <v>9.1994103586204972</v>
      </c>
      <c r="AC27" s="8">
        <f t="shared" si="9"/>
        <v>9.1994103586204972</v>
      </c>
      <c r="AD27" s="8">
        <f t="shared" si="10"/>
        <v>5.9829671947323728</v>
      </c>
      <c r="AE27" s="8">
        <f t="shared" si="11"/>
        <v>9.1994103586204972</v>
      </c>
      <c r="AF27" s="8">
        <f t="shared" si="12"/>
        <v>9.1994103586204972</v>
      </c>
      <c r="AG27" s="8">
        <f t="shared" si="13"/>
        <v>6.5705862535942627E-2</v>
      </c>
      <c r="AH27" s="8">
        <f t="shared" si="14"/>
        <v>4.7571044476022459</v>
      </c>
      <c r="AI27" s="8">
        <f t="shared" si="15"/>
        <v>0.42243604510039212</v>
      </c>
      <c r="AJ27" s="8">
        <f t="shared" si="16"/>
        <v>0.39423517521565571</v>
      </c>
      <c r="AK27" s="8">
        <f t="shared" si="17"/>
        <v>2.2602816712364264</v>
      </c>
      <c r="AL27" s="8">
        <f t="shared" si="18"/>
        <v>0.17010967040154151</v>
      </c>
      <c r="AM27" s="8">
        <f t="shared" si="19"/>
        <v>0.92672294100456643</v>
      </c>
      <c r="AN27" s="8">
        <f t="shared" si="20"/>
        <v>5.0839126670785459</v>
      </c>
      <c r="AO27" s="8">
        <f t="shared" si="21"/>
        <v>2.1385914023182306</v>
      </c>
      <c r="AP27" s="8">
        <f t="shared" si="22"/>
        <v>0.71286380077274347</v>
      </c>
      <c r="AQ27" s="8">
        <f t="shared" si="23"/>
        <v>7.8997632016906625</v>
      </c>
      <c r="AR27" s="31">
        <f t="shared" si="24"/>
        <v>9.0322004815756269</v>
      </c>
      <c r="AS27" s="8">
        <f t="shared" si="0"/>
        <v>20.090000000000146</v>
      </c>
      <c r="AT27" s="8">
        <f t="shared" si="1"/>
        <v>10.059999999999491</v>
      </c>
      <c r="AU27" s="8">
        <f t="shared" si="25"/>
        <v>37.021963683266435</v>
      </c>
      <c r="AV27" s="15">
        <f t="shared" si="26"/>
        <v>26.99196368326578</v>
      </c>
    </row>
    <row r="28" spans="1:48" x14ac:dyDescent="0.25">
      <c r="A28" t="s">
        <v>41</v>
      </c>
      <c r="B28" s="37">
        <v>0.5</v>
      </c>
      <c r="C28">
        <v>1</v>
      </c>
      <c r="E28" t="s">
        <v>41</v>
      </c>
      <c r="F28" s="37">
        <v>0.5</v>
      </c>
      <c r="I28" t="s">
        <v>41</v>
      </c>
      <c r="J28" s="37">
        <v>0.5</v>
      </c>
      <c r="M28" t="s">
        <v>41</v>
      </c>
      <c r="N28" s="37">
        <v>0.5</v>
      </c>
      <c r="Q28" t="s">
        <v>41</v>
      </c>
      <c r="R28" s="37">
        <v>0.5</v>
      </c>
      <c r="S28" t="s">
        <v>42</v>
      </c>
      <c r="U28" s="4">
        <v>9500</v>
      </c>
      <c r="V28" s="7">
        <f t="shared" si="2"/>
        <v>21.185000000000002</v>
      </c>
      <c r="W28" s="7">
        <f t="shared" si="3"/>
        <v>2.1816615649929121</v>
      </c>
      <c r="X28" s="7">
        <f t="shared" si="4"/>
        <v>2.1816615649929121</v>
      </c>
      <c r="Y28" s="7">
        <f t="shared" si="5"/>
        <v>3.3545228223331018</v>
      </c>
      <c r="Z28" s="7">
        <f t="shared" si="6"/>
        <v>2.1816615649929121</v>
      </c>
      <c r="AA28" s="7">
        <f t="shared" si="7"/>
        <v>2.1816615649929121</v>
      </c>
      <c r="AB28" s="8">
        <f t="shared" si="8"/>
        <v>9.7104887118771916</v>
      </c>
      <c r="AC28" s="8">
        <f t="shared" si="9"/>
        <v>9.7104887118771916</v>
      </c>
      <c r="AD28" s="8">
        <f t="shared" si="10"/>
        <v>6.3153542611063944</v>
      </c>
      <c r="AE28" s="8">
        <f t="shared" si="11"/>
        <v>9.7104887118771916</v>
      </c>
      <c r="AF28" s="8">
        <f t="shared" si="12"/>
        <v>9.7104887118771916</v>
      </c>
      <c r="AG28" s="8">
        <f t="shared" si="13"/>
        <v>7.3209309800849651E-2</v>
      </c>
      <c r="AH28" s="8">
        <f t="shared" si="14"/>
        <v>5.3003540295815146</v>
      </c>
      <c r="AI28" s="8">
        <f t="shared" si="15"/>
        <v>0.47067719839889388</v>
      </c>
      <c r="AJ28" s="8">
        <f t="shared" si="16"/>
        <v>0.43925585880509793</v>
      </c>
      <c r="AK28" s="8">
        <f t="shared" si="17"/>
        <v>2.5184002571492279</v>
      </c>
      <c r="AL28" s="8">
        <f t="shared" si="18"/>
        <v>0.1880048402311458</v>
      </c>
      <c r="AM28" s="8">
        <f t="shared" si="19"/>
        <v>1.0242121923511895</v>
      </c>
      <c r="AN28" s="8">
        <f t="shared" si="20"/>
        <v>5.6187292966181559</v>
      </c>
      <c r="AO28" s="8">
        <f t="shared" si="21"/>
        <v>2.3635665977335143</v>
      </c>
      <c r="AP28" s="8">
        <f t="shared" si="22"/>
        <v>0.78785553257783814</v>
      </c>
      <c r="AQ28" s="8">
        <f t="shared" si="23"/>
        <v>8.8018966537355841</v>
      </c>
      <c r="AR28" s="31">
        <f t="shared" si="24"/>
        <v>9.9823684595118447</v>
      </c>
      <c r="AS28" s="8">
        <f t="shared" si="0"/>
        <v>20.090000000000146</v>
      </c>
      <c r="AT28" s="8">
        <f t="shared" si="1"/>
        <v>10.059999999999491</v>
      </c>
      <c r="AU28" s="8">
        <f t="shared" si="25"/>
        <v>38.874265113247574</v>
      </c>
      <c r="AV28" s="15">
        <f t="shared" si="26"/>
        <v>28.844265113246919</v>
      </c>
    </row>
    <row r="29" spans="1:48" x14ac:dyDescent="0.25">
      <c r="A29" t="s">
        <v>102</v>
      </c>
      <c r="B29" s="37"/>
      <c r="E29" t="s">
        <v>102</v>
      </c>
      <c r="F29" s="37"/>
      <c r="I29" t="s">
        <v>102</v>
      </c>
      <c r="J29" s="37"/>
      <c r="M29" t="s">
        <v>102</v>
      </c>
      <c r="N29" s="37"/>
      <c r="O29">
        <v>1</v>
      </c>
      <c r="Q29" t="s">
        <v>102</v>
      </c>
      <c r="R29" s="37"/>
      <c r="S29">
        <v>0</v>
      </c>
      <c r="U29" s="4">
        <v>10000</v>
      </c>
      <c r="V29" s="7">
        <f>U29*0.00223</f>
        <v>22.3</v>
      </c>
      <c r="W29" s="7">
        <f t="shared" si="3"/>
        <v>2.1816615649929121</v>
      </c>
      <c r="X29" s="7">
        <f t="shared" si="4"/>
        <v>2.1816615649929121</v>
      </c>
      <c r="Y29" s="7">
        <f t="shared" si="5"/>
        <v>3.3545228223331018</v>
      </c>
      <c r="Z29" s="7">
        <f t="shared" si="6"/>
        <v>2.1816615649929121</v>
      </c>
      <c r="AA29" s="7">
        <f t="shared" si="7"/>
        <v>2.1816615649929121</v>
      </c>
      <c r="AB29" s="8">
        <f>V29/W29</f>
        <v>10.221567065133886</v>
      </c>
      <c r="AC29" s="8">
        <f>V29/X29</f>
        <v>10.221567065133886</v>
      </c>
      <c r="AD29" s="8">
        <f t="shared" si="10"/>
        <v>6.6477413274804142</v>
      </c>
      <c r="AE29" s="8">
        <f t="shared" si="11"/>
        <v>10.221567065133886</v>
      </c>
      <c r="AF29" s="8">
        <f t="shared" si="12"/>
        <v>10.221567065133886</v>
      </c>
      <c r="AG29" s="8">
        <f t="shared" si="13"/>
        <v>8.1118348809805715E-2</v>
      </c>
      <c r="AH29" s="8">
        <f t="shared" si="14"/>
        <v>5.8729684538299329</v>
      </c>
      <c r="AI29" s="8">
        <f t="shared" si="15"/>
        <v>0.52152598160542241</v>
      </c>
      <c r="AJ29" s="8">
        <f t="shared" si="16"/>
        <v>0.48671009285883426</v>
      </c>
      <c r="AK29" s="8">
        <f t="shared" si="17"/>
        <v>2.7904711990573166</v>
      </c>
      <c r="AL29" s="8">
        <f t="shared" si="18"/>
        <v>0.2067189834427621</v>
      </c>
      <c r="AM29" s="8">
        <f t="shared" si="19"/>
        <v>1.1261630443780741</v>
      </c>
      <c r="AN29" s="8">
        <f t="shared" si="20"/>
        <v>6.1780218371449793</v>
      </c>
      <c r="AO29" s="8">
        <f t="shared" si="21"/>
        <v>2.5988377947186327</v>
      </c>
      <c r="AP29" s="8">
        <f t="shared" si="22"/>
        <v>0.86627926490621088</v>
      </c>
      <c r="AQ29" s="8">
        <f t="shared" si="23"/>
        <v>9.7527940761613117</v>
      </c>
      <c r="AR29" s="31">
        <f t="shared" si="24"/>
        <v>10.97602092459066</v>
      </c>
      <c r="AS29" s="8">
        <f t="shared" si="0"/>
        <v>20.090000000000146</v>
      </c>
      <c r="AT29" s="8">
        <f t="shared" si="1"/>
        <v>10.059999999999491</v>
      </c>
      <c r="AU29" s="8">
        <f t="shared" si="25"/>
        <v>40.818815000752117</v>
      </c>
      <c r="AV29" s="15">
        <f t="shared" si="26"/>
        <v>30.788815000751462</v>
      </c>
    </row>
    <row r="30" spans="1:48" x14ac:dyDescent="0.25">
      <c r="A30" t="s">
        <v>43</v>
      </c>
      <c r="B30" s="37">
        <v>0.05</v>
      </c>
      <c r="C30">
        <v>1</v>
      </c>
      <c r="E30" t="s">
        <v>43</v>
      </c>
      <c r="F30" s="37">
        <v>0.05</v>
      </c>
      <c r="I30" t="s">
        <v>43</v>
      </c>
      <c r="J30" s="37">
        <v>0.05</v>
      </c>
      <c r="M30" t="s">
        <v>43</v>
      </c>
      <c r="N30" s="37">
        <v>0.05</v>
      </c>
      <c r="Q30" t="s">
        <v>43</v>
      </c>
      <c r="R30" s="37">
        <v>0.05</v>
      </c>
      <c r="U30" s="4">
        <v>10600</v>
      </c>
      <c r="V30" s="7">
        <f>U30*0.00223</f>
        <v>23.638000000000002</v>
      </c>
      <c r="W30" s="7">
        <f t="shared" si="3"/>
        <v>2.1816615649929121</v>
      </c>
      <c r="X30" s="7">
        <f t="shared" si="4"/>
        <v>2.1816615649929121</v>
      </c>
      <c r="Y30" s="7">
        <f t="shared" si="5"/>
        <v>3.3545228223331018</v>
      </c>
      <c r="Z30" s="7">
        <f t="shared" si="6"/>
        <v>2.1816615649929121</v>
      </c>
      <c r="AA30" s="7">
        <f t="shared" si="7"/>
        <v>2.1816615649929121</v>
      </c>
      <c r="AB30" s="8">
        <f>V30/W30</f>
        <v>10.834861089041919</v>
      </c>
      <c r="AC30" s="8">
        <f>V30/X30</f>
        <v>10.834861089041919</v>
      </c>
      <c r="AD30" s="8">
        <f t="shared" si="10"/>
        <v>7.0466058071292395</v>
      </c>
      <c r="AE30" s="8">
        <f t="shared" si="11"/>
        <v>10.834861089041919</v>
      </c>
      <c r="AF30" s="8">
        <f t="shared" si="12"/>
        <v>10.834861089041919</v>
      </c>
      <c r="AG30" s="8">
        <f t="shared" si="13"/>
        <v>9.1144576722697698E-2</v>
      </c>
      <c r="AH30" s="8">
        <f t="shared" si="14"/>
        <v>6.5988673547233132</v>
      </c>
      <c r="AI30" s="8">
        <f t="shared" si="15"/>
        <v>0.58598659293185273</v>
      </c>
      <c r="AJ30" s="8">
        <f t="shared" si="16"/>
        <v>0.54686746033618616</v>
      </c>
      <c r="AK30" s="8">
        <f t="shared" si="17"/>
        <v>3.1353734392608006</v>
      </c>
      <c r="AL30" s="8">
        <f t="shared" si="18"/>
        <v>0.23024818285570131</v>
      </c>
      <c r="AM30" s="8">
        <f t="shared" si="19"/>
        <v>1.254345344819733</v>
      </c>
      <c r="AN30" s="8">
        <f t="shared" si="20"/>
        <v>6.8812175735149141</v>
      </c>
      <c r="AO30" s="8">
        <f t="shared" si="21"/>
        <v>2.8946431034301532</v>
      </c>
      <c r="AP30" s="8">
        <f t="shared" si="22"/>
        <v>0.96488103447671769</v>
      </c>
      <c r="AQ30" s="8">
        <f t="shared" si="23"/>
        <v>10.958239423974851</v>
      </c>
      <c r="AR30" s="31">
        <f t="shared" si="24"/>
        <v>12.225335239097221</v>
      </c>
      <c r="AS30" s="8">
        <f t="shared" si="0"/>
        <v>20.090000000000146</v>
      </c>
      <c r="AT30" s="8">
        <f t="shared" si="1"/>
        <v>10.059999999999491</v>
      </c>
      <c r="AU30" s="8">
        <f t="shared" si="25"/>
        <v>43.273574663072218</v>
      </c>
      <c r="AV30" s="15">
        <f t="shared" si="26"/>
        <v>33.243574663071563</v>
      </c>
    </row>
    <row r="31" spans="1:48" x14ac:dyDescent="0.25">
      <c r="A31" t="s">
        <v>44</v>
      </c>
      <c r="B31" s="37">
        <v>0.25</v>
      </c>
      <c r="E31" t="s">
        <v>44</v>
      </c>
      <c r="F31" s="37">
        <v>0.25</v>
      </c>
      <c r="I31" t="s">
        <v>44</v>
      </c>
      <c r="J31" s="37">
        <v>0.25</v>
      </c>
      <c r="M31" t="s">
        <v>44</v>
      </c>
      <c r="N31" s="37">
        <v>0.25</v>
      </c>
      <c r="Q31" t="s">
        <v>44</v>
      </c>
      <c r="R31" s="37">
        <v>0.25</v>
      </c>
      <c r="U31" s="32">
        <v>10800</v>
      </c>
      <c r="V31" s="33">
        <f>U31*0.00223</f>
        <v>24.084000000000003</v>
      </c>
      <c r="W31" s="7">
        <f t="shared" si="3"/>
        <v>2.1816615649929121</v>
      </c>
      <c r="X31" s="7">
        <f t="shared" si="4"/>
        <v>2.1816615649929121</v>
      </c>
      <c r="Y31" s="7">
        <f t="shared" si="5"/>
        <v>3.3545228223331018</v>
      </c>
      <c r="Z31" s="7">
        <f t="shared" si="6"/>
        <v>2.1816615649929121</v>
      </c>
      <c r="AA31" s="7">
        <f t="shared" si="7"/>
        <v>2.1816615649929121</v>
      </c>
      <c r="AB31" s="19">
        <f>V31/W31</f>
        <v>11.039292430344597</v>
      </c>
      <c r="AC31" s="36">
        <f>V31/X31</f>
        <v>11.039292430344597</v>
      </c>
      <c r="AD31" s="8">
        <f t="shared" si="10"/>
        <v>7.1795606336788484</v>
      </c>
      <c r="AE31" s="8">
        <f t="shared" si="11"/>
        <v>11.039292430344597</v>
      </c>
      <c r="AF31" s="8">
        <f t="shared" si="12"/>
        <v>11.039292430344597</v>
      </c>
      <c r="AG31" s="8">
        <f t="shared" si="13"/>
        <v>9.4616442051757385E-2</v>
      </c>
      <c r="AH31" s="8">
        <f t="shared" si="14"/>
        <v>6.8502304045472338</v>
      </c>
      <c r="AI31" s="8">
        <f t="shared" si="15"/>
        <v>0.60830790494456488</v>
      </c>
      <c r="AJ31" s="8">
        <f t="shared" si="16"/>
        <v>0.56769865231054417</v>
      </c>
      <c r="AK31" s="8">
        <f t="shared" si="17"/>
        <v>3.2548056065804536</v>
      </c>
      <c r="AL31" s="8">
        <f t="shared" si="18"/>
        <v>0.23834953461656153</v>
      </c>
      <c r="AM31" s="8">
        <f t="shared" si="19"/>
        <v>1.2984798641108177</v>
      </c>
      <c r="AN31" s="8">
        <f t="shared" si="20"/>
        <v>7.1233352893406865</v>
      </c>
      <c r="AO31" s="8">
        <f t="shared" si="21"/>
        <v>2.9964919941018873</v>
      </c>
      <c r="AP31" s="8">
        <f t="shared" si="22"/>
        <v>0.99883066470062909</v>
      </c>
      <c r="AQ31" s="8">
        <f t="shared" si="23"/>
        <v>11.375659010434553</v>
      </c>
      <c r="AR31" s="31">
        <f t="shared" si="24"/>
        <v>12.655487346870583</v>
      </c>
      <c r="AS31" s="19">
        <f t="shared" si="0"/>
        <v>20.090000000000146</v>
      </c>
      <c r="AT31" s="19">
        <f t="shared" si="1"/>
        <v>10.059999999999491</v>
      </c>
      <c r="AU31" s="8">
        <f t="shared" si="25"/>
        <v>44.121146357305278</v>
      </c>
      <c r="AV31" s="15">
        <f t="shared" si="26"/>
        <v>34.091146357304623</v>
      </c>
    </row>
    <row r="32" spans="1:48" x14ac:dyDescent="0.25">
      <c r="A32" t="s">
        <v>45</v>
      </c>
      <c r="B32" s="37">
        <v>0.5</v>
      </c>
      <c r="E32" t="s">
        <v>45</v>
      </c>
      <c r="F32" s="37">
        <v>0.5</v>
      </c>
      <c r="I32" t="s">
        <v>45</v>
      </c>
      <c r="J32" s="37">
        <v>0.5</v>
      </c>
      <c r="M32" t="s">
        <v>45</v>
      </c>
      <c r="N32" s="37">
        <v>0.5</v>
      </c>
      <c r="Q32" t="s">
        <v>45</v>
      </c>
      <c r="R32" s="37">
        <v>0.5</v>
      </c>
      <c r="U32" s="4">
        <v>11000</v>
      </c>
      <c r="V32" s="7">
        <f t="shared" ref="V32:V54" si="27">U32*0.00223</f>
        <v>24.53</v>
      </c>
      <c r="W32" s="7">
        <f t="shared" si="3"/>
        <v>2.1816615649929121</v>
      </c>
      <c r="X32" s="7">
        <f t="shared" si="4"/>
        <v>2.1816615649929121</v>
      </c>
      <c r="Y32" s="7">
        <f t="shared" si="5"/>
        <v>3.3545228223331018</v>
      </c>
      <c r="Z32" s="7">
        <f t="shared" si="6"/>
        <v>2.1816615649929121</v>
      </c>
      <c r="AA32" s="7">
        <f t="shared" si="7"/>
        <v>2.1816615649929121</v>
      </c>
      <c r="AB32" s="8">
        <f t="shared" ref="AB32:AB54" si="28">V32/W32</f>
        <v>11.243723771647275</v>
      </c>
      <c r="AC32" s="8">
        <f t="shared" si="9"/>
        <v>11.243723771647275</v>
      </c>
      <c r="AD32" s="8">
        <f t="shared" si="10"/>
        <v>7.3125154602284557</v>
      </c>
      <c r="AE32" s="8">
        <f t="shared" si="11"/>
        <v>11.243723771647275</v>
      </c>
      <c r="AF32" s="8">
        <f t="shared" si="12"/>
        <v>11.243723771647275</v>
      </c>
      <c r="AG32" s="8">
        <f t="shared" si="13"/>
        <v>9.8153202059864927E-2</v>
      </c>
      <c r="AH32" s="8">
        <f t="shared" si="14"/>
        <v>7.1062918291342196</v>
      </c>
      <c r="AI32" s="8">
        <f t="shared" si="15"/>
        <v>0.63104643774256119</v>
      </c>
      <c r="AJ32" s="8">
        <f t="shared" si="16"/>
        <v>0.58891921235918943</v>
      </c>
      <c r="AK32" s="8">
        <f t="shared" si="17"/>
        <v>3.3764701508593529</v>
      </c>
      <c r="AL32" s="8">
        <f t="shared" si="18"/>
        <v>0.24657942083935655</v>
      </c>
      <c r="AM32" s="8">
        <f t="shared" si="19"/>
        <v>1.3433146130496556</v>
      </c>
      <c r="AN32" s="8">
        <f t="shared" si="20"/>
        <v>7.3692943974732232</v>
      </c>
      <c r="AO32" s="8">
        <f t="shared" si="21"/>
        <v>3.0999567993453594</v>
      </c>
      <c r="AP32" s="8">
        <f t="shared" si="22"/>
        <v>1.0333189331151198</v>
      </c>
      <c r="AQ32" s="8">
        <f t="shared" si="23"/>
        <v>11.800880832155187</v>
      </c>
      <c r="AR32" s="31">
        <f t="shared" si="24"/>
        <v>13.092464163822715</v>
      </c>
      <c r="AS32" s="8">
        <f t="shared" si="0"/>
        <v>20.090000000000146</v>
      </c>
      <c r="AT32" s="8">
        <f t="shared" si="1"/>
        <v>10.059999999999491</v>
      </c>
      <c r="AU32" s="8">
        <f t="shared" si="25"/>
        <v>44.983344995978044</v>
      </c>
      <c r="AV32" s="15">
        <f t="shared" si="26"/>
        <v>34.953344995977389</v>
      </c>
    </row>
    <row r="33" spans="1:48" x14ac:dyDescent="0.25">
      <c r="A33" t="s">
        <v>46</v>
      </c>
      <c r="B33" s="37">
        <v>0.8</v>
      </c>
      <c r="E33" t="s">
        <v>46</v>
      </c>
      <c r="F33" s="37">
        <v>0.8</v>
      </c>
      <c r="I33" t="s">
        <v>46</v>
      </c>
      <c r="J33" s="37">
        <v>0.8</v>
      </c>
      <c r="M33" t="s">
        <v>46</v>
      </c>
      <c r="N33" s="37">
        <v>0.8</v>
      </c>
      <c r="Q33" t="s">
        <v>46</v>
      </c>
      <c r="R33" s="37">
        <v>0.8</v>
      </c>
      <c r="U33" s="4">
        <v>11500</v>
      </c>
      <c r="V33" s="7">
        <f t="shared" si="27"/>
        <v>25.645000000000003</v>
      </c>
      <c r="W33" s="7">
        <f t="shared" si="3"/>
        <v>2.1816615649929121</v>
      </c>
      <c r="X33" s="7">
        <f t="shared" si="4"/>
        <v>2.1816615649929121</v>
      </c>
      <c r="Y33" s="7">
        <f t="shared" si="5"/>
        <v>3.3545228223331018</v>
      </c>
      <c r="Z33" s="7">
        <f t="shared" si="6"/>
        <v>2.1816615649929121</v>
      </c>
      <c r="AA33" s="7">
        <f t="shared" si="7"/>
        <v>2.1816615649929121</v>
      </c>
      <c r="AB33" s="8">
        <f t="shared" si="28"/>
        <v>11.75480212490397</v>
      </c>
      <c r="AC33" s="8">
        <f t="shared" si="9"/>
        <v>11.75480212490397</v>
      </c>
      <c r="AD33" s="8">
        <f t="shared" si="10"/>
        <v>7.6449025266024773</v>
      </c>
      <c r="AE33" s="8">
        <f t="shared" si="11"/>
        <v>11.75480212490397</v>
      </c>
      <c r="AF33" s="8">
        <f t="shared" si="12"/>
        <v>11.75480212490397</v>
      </c>
      <c r="AG33" s="8">
        <f t="shared" si="13"/>
        <v>0.10727901630096807</v>
      </c>
      <c r="AH33" s="8">
        <f t="shared" si="14"/>
        <v>7.767000780190088</v>
      </c>
      <c r="AI33" s="8">
        <f t="shared" si="15"/>
        <v>0.68971811067317135</v>
      </c>
      <c r="AJ33" s="8">
        <f t="shared" si="16"/>
        <v>0.64367409780580842</v>
      </c>
      <c r="AK33" s="8">
        <f t="shared" si="17"/>
        <v>3.6903981607533014</v>
      </c>
      <c r="AL33" s="8">
        <f t="shared" si="18"/>
        <v>0.26771417399093644</v>
      </c>
      <c r="AM33" s="8">
        <f t="shared" si="19"/>
        <v>1.4584524564879799</v>
      </c>
      <c r="AN33" s="8">
        <f t="shared" si="20"/>
        <v>8.0009295009289385</v>
      </c>
      <c r="AO33" s="8">
        <f t="shared" si="21"/>
        <v>3.3656595149722621</v>
      </c>
      <c r="AP33" s="8">
        <f t="shared" si="22"/>
        <v>1.121886504990754</v>
      </c>
      <c r="AQ33" s="8">
        <f t="shared" si="23"/>
        <v>12.898070165723336</v>
      </c>
      <c r="AR33" s="31">
        <f t="shared" si="24"/>
        <v>14.214642151370871</v>
      </c>
      <c r="AS33" s="8">
        <f t="shared" si="0"/>
        <v>20.090000000000146</v>
      </c>
      <c r="AT33" s="8">
        <f t="shared" si="1"/>
        <v>10.059999999999491</v>
      </c>
      <c r="AU33" s="8">
        <f t="shared" si="25"/>
        <v>47.202712317094353</v>
      </c>
      <c r="AV33" s="15">
        <f t="shared" si="26"/>
        <v>37.172712317093698</v>
      </c>
    </row>
    <row r="34" spans="1:48" x14ac:dyDescent="0.25">
      <c r="A34" t="s">
        <v>47</v>
      </c>
      <c r="B34" s="37">
        <v>1</v>
      </c>
      <c r="E34" t="s">
        <v>47</v>
      </c>
      <c r="F34" s="37">
        <v>1</v>
      </c>
      <c r="I34" t="s">
        <v>47</v>
      </c>
      <c r="J34" s="37">
        <v>1</v>
      </c>
      <c r="M34" t="s">
        <v>47</v>
      </c>
      <c r="N34" s="37">
        <v>1</v>
      </c>
      <c r="O34">
        <v>0</v>
      </c>
      <c r="Q34" t="s">
        <v>47</v>
      </c>
      <c r="R34" s="37">
        <v>1</v>
      </c>
      <c r="S34">
        <v>1</v>
      </c>
      <c r="U34" s="4">
        <v>12000</v>
      </c>
      <c r="V34" s="7">
        <f t="shared" si="27"/>
        <v>26.76</v>
      </c>
      <c r="W34" s="7">
        <f t="shared" si="3"/>
        <v>2.1816615649929121</v>
      </c>
      <c r="X34" s="7">
        <f t="shared" si="4"/>
        <v>2.1816615649929121</v>
      </c>
      <c r="Y34" s="7">
        <f t="shared" si="5"/>
        <v>3.3545228223331018</v>
      </c>
      <c r="Z34" s="7">
        <f t="shared" si="6"/>
        <v>2.1816615649929121</v>
      </c>
      <c r="AA34" s="7">
        <f t="shared" si="7"/>
        <v>2.1816615649929121</v>
      </c>
      <c r="AB34" s="8">
        <f t="shared" si="28"/>
        <v>12.265880478160664</v>
      </c>
      <c r="AC34" s="8">
        <f t="shared" si="9"/>
        <v>12.265880478160664</v>
      </c>
      <c r="AD34" s="8">
        <f t="shared" si="10"/>
        <v>7.9772895929764971</v>
      </c>
      <c r="AE34" s="8">
        <f t="shared" si="11"/>
        <v>12.265880478160664</v>
      </c>
      <c r="AF34" s="8">
        <f t="shared" si="12"/>
        <v>12.265880478160664</v>
      </c>
      <c r="AG34" s="8">
        <f t="shared" si="13"/>
        <v>0.11681042228612025</v>
      </c>
      <c r="AH34" s="8">
        <f t="shared" si="14"/>
        <v>8.4570745735151061</v>
      </c>
      <c r="AI34" s="8">
        <f t="shared" si="15"/>
        <v>0.75099741351180826</v>
      </c>
      <c r="AJ34" s="8">
        <f t="shared" si="16"/>
        <v>0.70086253371672136</v>
      </c>
      <c r="AK34" s="8">
        <f t="shared" si="17"/>
        <v>4.0182785266425363</v>
      </c>
      <c r="AL34" s="8">
        <f t="shared" si="18"/>
        <v>0.2896447531976678</v>
      </c>
      <c r="AM34" s="8">
        <f t="shared" si="19"/>
        <v>1.5779257986702449</v>
      </c>
      <c r="AN34" s="8">
        <f t="shared" si="20"/>
        <v>8.6563487323123613</v>
      </c>
      <c r="AO34" s="8">
        <f t="shared" si="21"/>
        <v>3.6413672277005653</v>
      </c>
      <c r="AP34" s="8">
        <f t="shared" si="22"/>
        <v>1.2137890759001884</v>
      </c>
      <c r="AQ34" s="8">
        <f t="shared" si="23"/>
        <v>14.044023469672291</v>
      </c>
      <c r="AR34" s="31">
        <f t="shared" si="24"/>
        <v>15.379075587781026</v>
      </c>
      <c r="AS34" s="8">
        <f t="shared" si="0"/>
        <v>20.090000000000146</v>
      </c>
      <c r="AT34" s="8">
        <f t="shared" si="1"/>
        <v>10.059999999999491</v>
      </c>
      <c r="AU34" s="8">
        <f t="shared" si="25"/>
        <v>49.513099057453459</v>
      </c>
      <c r="AV34" s="15">
        <f t="shared" si="26"/>
        <v>39.483099057452804</v>
      </c>
    </row>
    <row r="35" spans="1:48" x14ac:dyDescent="0.25">
      <c r="A35" t="s">
        <v>48</v>
      </c>
      <c r="B35" s="37">
        <v>0.36</v>
      </c>
      <c r="C35">
        <v>0</v>
      </c>
      <c r="E35" t="s">
        <v>48</v>
      </c>
      <c r="F35" s="37">
        <v>0.36</v>
      </c>
      <c r="G35">
        <v>4</v>
      </c>
      <c r="I35" t="s">
        <v>48</v>
      </c>
      <c r="J35" s="37">
        <v>0.36</v>
      </c>
      <c r="K35">
        <v>0</v>
      </c>
      <c r="M35" t="s">
        <v>48</v>
      </c>
      <c r="N35" s="37">
        <v>0.36</v>
      </c>
      <c r="Q35" t="s">
        <v>48</v>
      </c>
      <c r="R35" s="37">
        <v>0.36</v>
      </c>
      <c r="U35" s="4">
        <v>12500</v>
      </c>
      <c r="V35" s="7">
        <f t="shared" si="27"/>
        <v>27.875000000000004</v>
      </c>
      <c r="W35" s="7">
        <f t="shared" si="3"/>
        <v>2.1816615649929121</v>
      </c>
      <c r="X35" s="7">
        <f t="shared" si="4"/>
        <v>2.1816615649929121</v>
      </c>
      <c r="Y35" s="7">
        <f t="shared" si="5"/>
        <v>3.3545228223331018</v>
      </c>
      <c r="Z35" s="7">
        <f t="shared" si="6"/>
        <v>2.1816615649929121</v>
      </c>
      <c r="AA35" s="7">
        <f t="shared" si="7"/>
        <v>2.1816615649929121</v>
      </c>
      <c r="AB35" s="8">
        <f t="shared" si="28"/>
        <v>12.776958831417359</v>
      </c>
      <c r="AC35" s="8">
        <f t="shared" si="9"/>
        <v>12.776958831417359</v>
      </c>
      <c r="AD35" s="8">
        <f t="shared" si="10"/>
        <v>8.3096766593505187</v>
      </c>
      <c r="AE35" s="8">
        <f t="shared" si="11"/>
        <v>12.776958831417359</v>
      </c>
      <c r="AF35" s="8">
        <f t="shared" si="12"/>
        <v>12.776958831417359</v>
      </c>
      <c r="AG35" s="8">
        <f t="shared" si="13"/>
        <v>0.12674742001532147</v>
      </c>
      <c r="AH35" s="8">
        <f t="shared" si="14"/>
        <v>9.176513209109272</v>
      </c>
      <c r="AI35" s="8">
        <f t="shared" si="15"/>
        <v>0.81488434625847261</v>
      </c>
      <c r="AJ35" s="8">
        <f t="shared" si="16"/>
        <v>0.76048452009192857</v>
      </c>
      <c r="AK35" s="8">
        <f t="shared" si="17"/>
        <v>4.3601112485270574</v>
      </c>
      <c r="AL35" s="8">
        <f t="shared" si="18"/>
        <v>0.31236609237966217</v>
      </c>
      <c r="AM35" s="8">
        <f t="shared" si="19"/>
        <v>1.7017070406219623</v>
      </c>
      <c r="AN35" s="8">
        <f t="shared" si="20"/>
        <v>9.3354006863116066</v>
      </c>
      <c r="AO35" s="8">
        <f t="shared" si="21"/>
        <v>3.9270162475891439</v>
      </c>
      <c r="AP35" s="8">
        <f t="shared" si="22"/>
        <v>1.309005415863048</v>
      </c>
      <c r="AQ35" s="8">
        <f t="shared" si="23"/>
        <v>15.238740744002051</v>
      </c>
      <c r="AR35" s="31">
        <f t="shared" si="24"/>
        <v>16.585495482765424</v>
      </c>
      <c r="AS35" s="8">
        <f t="shared" si="0"/>
        <v>20.090000000000146</v>
      </c>
      <c r="AT35" s="8">
        <f t="shared" si="1"/>
        <v>10.059999999999491</v>
      </c>
      <c r="AU35" s="8">
        <f t="shared" si="25"/>
        <v>51.914236226767621</v>
      </c>
      <c r="AV35" s="15">
        <f t="shared" si="26"/>
        <v>41.884236226766966</v>
      </c>
    </row>
    <row r="36" spans="1:48" x14ac:dyDescent="0.25">
      <c r="A36" t="s">
        <v>49</v>
      </c>
      <c r="B36" s="37">
        <v>0.19</v>
      </c>
      <c r="E36" t="s">
        <v>49</v>
      </c>
      <c r="F36" s="37">
        <v>0.19</v>
      </c>
      <c r="I36" t="s">
        <v>49</v>
      </c>
      <c r="J36" s="37">
        <v>0.19</v>
      </c>
      <c r="M36" t="s">
        <v>49</v>
      </c>
      <c r="N36" s="37">
        <v>0.19</v>
      </c>
      <c r="Q36" t="s">
        <v>49</v>
      </c>
      <c r="R36" s="37">
        <v>0.19</v>
      </c>
      <c r="U36" s="4">
        <v>13000</v>
      </c>
      <c r="V36" s="7">
        <f t="shared" si="27"/>
        <v>28.990000000000002</v>
      </c>
      <c r="W36" s="7">
        <f t="shared" si="3"/>
        <v>2.1816615649929121</v>
      </c>
      <c r="X36" s="7">
        <f t="shared" si="4"/>
        <v>2.1816615649929121</v>
      </c>
      <c r="Y36" s="7">
        <f t="shared" si="5"/>
        <v>3.3545228223331018</v>
      </c>
      <c r="Z36" s="7">
        <f t="shared" si="6"/>
        <v>2.1816615649929121</v>
      </c>
      <c r="AA36" s="7">
        <f t="shared" si="7"/>
        <v>2.1816615649929121</v>
      </c>
      <c r="AB36" s="8">
        <f t="shared" si="28"/>
        <v>13.288037184674051</v>
      </c>
      <c r="AC36" s="8">
        <f t="shared" si="9"/>
        <v>13.288037184674051</v>
      </c>
      <c r="AD36" s="8">
        <f t="shared" si="10"/>
        <v>8.6420637257245385</v>
      </c>
      <c r="AE36" s="8">
        <f t="shared" si="11"/>
        <v>13.288037184674051</v>
      </c>
      <c r="AF36" s="8">
        <f t="shared" si="12"/>
        <v>13.288037184674051</v>
      </c>
      <c r="AG36" s="8">
        <f t="shared" si="13"/>
        <v>0.13709000948857164</v>
      </c>
      <c r="AH36" s="8">
        <f t="shared" si="14"/>
        <v>9.9253166869725877</v>
      </c>
      <c r="AI36" s="8">
        <f t="shared" si="15"/>
        <v>0.88137890891316384</v>
      </c>
      <c r="AJ36" s="8">
        <f t="shared" si="16"/>
        <v>0.82254005693142984</v>
      </c>
      <c r="AK36" s="8">
        <f t="shared" si="17"/>
        <v>4.715896326406865</v>
      </c>
      <c r="AL36" s="8">
        <f t="shared" si="18"/>
        <v>0.33587336273261886</v>
      </c>
      <c r="AM36" s="8">
        <f t="shared" si="19"/>
        <v>1.8297698759978636</v>
      </c>
      <c r="AN36" s="8">
        <f t="shared" si="20"/>
        <v>10.03794104885379</v>
      </c>
      <c r="AO36" s="8">
        <f t="shared" si="21"/>
        <v>4.2225458676873782</v>
      </c>
      <c r="AP36" s="8">
        <f t="shared" si="22"/>
        <v>1.4075152892291261</v>
      </c>
      <c r="AQ36" s="8">
        <f t="shared" si="23"/>
        <v>16.482221988712617</v>
      </c>
      <c r="AR36" s="31">
        <f t="shared" si="24"/>
        <v>17.833645444500775</v>
      </c>
      <c r="AS36" s="8">
        <f t="shared" si="0"/>
        <v>20.090000000000146</v>
      </c>
      <c r="AT36" s="8">
        <f t="shared" si="1"/>
        <v>10.059999999999491</v>
      </c>
      <c r="AU36" s="8">
        <f t="shared" si="25"/>
        <v>54.405867433213537</v>
      </c>
      <c r="AV36" s="15">
        <f t="shared" si="26"/>
        <v>44.375867433212882</v>
      </c>
    </row>
    <row r="37" spans="1:48" x14ac:dyDescent="0.25">
      <c r="A37" t="s">
        <v>50</v>
      </c>
      <c r="B37" s="37">
        <v>0.19</v>
      </c>
      <c r="E37" t="s">
        <v>50</v>
      </c>
      <c r="F37" s="37">
        <v>0.19</v>
      </c>
      <c r="G37">
        <v>2</v>
      </c>
      <c r="I37" t="s">
        <v>50</v>
      </c>
      <c r="J37" s="37">
        <v>0.19</v>
      </c>
      <c r="K37">
        <v>4</v>
      </c>
      <c r="M37" t="s">
        <v>50</v>
      </c>
      <c r="N37" s="37">
        <v>0.19</v>
      </c>
      <c r="Q37" t="s">
        <v>50</v>
      </c>
      <c r="R37" s="37">
        <v>0.19</v>
      </c>
      <c r="U37" s="4">
        <v>13500</v>
      </c>
      <c r="V37" s="7">
        <f t="shared" si="27"/>
        <v>30.105000000000004</v>
      </c>
      <c r="W37" s="7">
        <f t="shared" si="3"/>
        <v>2.1816615649929121</v>
      </c>
      <c r="X37" s="7">
        <f t="shared" si="4"/>
        <v>2.1816615649929121</v>
      </c>
      <c r="Y37" s="7">
        <f t="shared" si="5"/>
        <v>3.3545228223331018</v>
      </c>
      <c r="Z37" s="7">
        <f t="shared" si="6"/>
        <v>2.1816615649929121</v>
      </c>
      <c r="AA37" s="7">
        <f t="shared" si="7"/>
        <v>2.1816615649929121</v>
      </c>
      <c r="AB37" s="8">
        <f t="shared" si="28"/>
        <v>13.799115537930748</v>
      </c>
      <c r="AC37" s="8">
        <f t="shared" si="9"/>
        <v>13.799115537930748</v>
      </c>
      <c r="AD37" s="8">
        <f t="shared" si="10"/>
        <v>8.9744507920985601</v>
      </c>
      <c r="AE37" s="8">
        <f t="shared" si="11"/>
        <v>13.799115537930748</v>
      </c>
      <c r="AF37" s="8">
        <f t="shared" si="12"/>
        <v>13.799115537930748</v>
      </c>
      <c r="AG37" s="8">
        <f t="shared" si="13"/>
        <v>0.14783819070587095</v>
      </c>
      <c r="AH37" s="8">
        <f t="shared" si="14"/>
        <v>10.703485007105057</v>
      </c>
      <c r="AI37" s="8">
        <f t="shared" si="15"/>
        <v>0.95048110147588261</v>
      </c>
      <c r="AJ37" s="8">
        <f t="shared" si="16"/>
        <v>0.88702914423522561</v>
      </c>
      <c r="AK37" s="8">
        <f t="shared" si="17"/>
        <v>5.0856337602819597</v>
      </c>
      <c r="AL37" s="8">
        <f t="shared" si="18"/>
        <v>0.36016195275699608</v>
      </c>
      <c r="AM37" s="8">
        <f t="shared" si="19"/>
        <v>1.9620891822848805</v>
      </c>
      <c r="AN37" s="8">
        <f t="shared" si="20"/>
        <v>10.763832000255555</v>
      </c>
      <c r="AO37" s="8">
        <f t="shared" si="21"/>
        <v>4.5278981129651097</v>
      </c>
      <c r="AP37" s="8">
        <f t="shared" si="22"/>
        <v>1.5092993709883697</v>
      </c>
      <c r="AQ37" s="8">
        <f t="shared" si="23"/>
        <v>17.774467203803994</v>
      </c>
      <c r="AR37" s="31">
        <f t="shared" si="24"/>
        <v>19.123280619250909</v>
      </c>
      <c r="AS37" s="8">
        <f t="shared" si="0"/>
        <v>20.090000000000146</v>
      </c>
      <c r="AT37" s="8">
        <f t="shared" si="1"/>
        <v>10.059999999999491</v>
      </c>
      <c r="AU37" s="8">
        <f t="shared" si="25"/>
        <v>56.987747823055045</v>
      </c>
      <c r="AV37" s="15">
        <f t="shared" si="26"/>
        <v>46.95774782305439</v>
      </c>
    </row>
    <row r="38" spans="1:48" x14ac:dyDescent="0.25">
      <c r="A38" t="s">
        <v>51</v>
      </c>
      <c r="B38" s="37">
        <v>0.1</v>
      </c>
      <c r="E38" t="s">
        <v>51</v>
      </c>
      <c r="F38" s="37">
        <v>0.1</v>
      </c>
      <c r="I38" t="s">
        <v>51</v>
      </c>
      <c r="J38" s="37">
        <v>0.1</v>
      </c>
      <c r="M38" t="s">
        <v>51</v>
      </c>
      <c r="N38" s="37">
        <v>0.1</v>
      </c>
      <c r="Q38" t="s">
        <v>51</v>
      </c>
      <c r="R38" s="37">
        <v>0.1</v>
      </c>
      <c r="U38" s="4">
        <v>14000</v>
      </c>
      <c r="V38" s="7">
        <f t="shared" si="27"/>
        <v>31.220000000000002</v>
      </c>
      <c r="W38" s="7">
        <f t="shared" si="3"/>
        <v>2.1816615649929121</v>
      </c>
      <c r="X38" s="7">
        <f t="shared" si="4"/>
        <v>2.1816615649929121</v>
      </c>
      <c r="Y38" s="7">
        <f t="shared" si="5"/>
        <v>3.3545228223331018</v>
      </c>
      <c r="Z38" s="7">
        <f t="shared" si="6"/>
        <v>2.1816615649929121</v>
      </c>
      <c r="AA38" s="7">
        <f t="shared" si="7"/>
        <v>2.1816615649929121</v>
      </c>
      <c r="AB38" s="8">
        <f t="shared" si="28"/>
        <v>14.31019389118744</v>
      </c>
      <c r="AC38" s="8">
        <f t="shared" si="9"/>
        <v>14.31019389118744</v>
      </c>
      <c r="AD38" s="8">
        <f t="shared" si="10"/>
        <v>9.3068378584725799</v>
      </c>
      <c r="AE38" s="8">
        <f t="shared" si="11"/>
        <v>14.31019389118744</v>
      </c>
      <c r="AF38" s="8">
        <f t="shared" si="12"/>
        <v>14.31019389118744</v>
      </c>
      <c r="AG38" s="8">
        <f t="shared" si="13"/>
        <v>0.15899196366721918</v>
      </c>
      <c r="AH38" s="8">
        <f t="shared" si="14"/>
        <v>11.51101816950667</v>
      </c>
      <c r="AI38" s="8">
        <f t="shared" si="15"/>
        <v>1.0221909239466278</v>
      </c>
      <c r="AJ38" s="8">
        <f t="shared" si="16"/>
        <v>0.9539517820033151</v>
      </c>
      <c r="AK38" s="8">
        <f t="shared" si="17"/>
        <v>5.4693235501523398</v>
      </c>
      <c r="AL38" s="8">
        <f t="shared" si="18"/>
        <v>0.38522745065791925</v>
      </c>
      <c r="AM38" s="8">
        <f t="shared" si="19"/>
        <v>2.0986409249204172</v>
      </c>
      <c r="AN38" s="8">
        <f t="shared" si="20"/>
        <v>11.512941689224647</v>
      </c>
      <c r="AO38" s="8">
        <f t="shared" si="21"/>
        <v>4.843017519047117</v>
      </c>
      <c r="AP38" s="8">
        <f t="shared" si="22"/>
        <v>1.6143391730157057</v>
      </c>
      <c r="AQ38" s="8">
        <f t="shared" si="23"/>
        <v>19.115476389276171</v>
      </c>
      <c r="AR38" s="31">
        <f t="shared" si="24"/>
        <v>20.454166756865803</v>
      </c>
      <c r="AS38" s="8">
        <f t="shared" si="0"/>
        <v>20.090000000000146</v>
      </c>
      <c r="AT38" s="8">
        <f t="shared" si="1"/>
        <v>10.059999999999491</v>
      </c>
      <c r="AU38" s="8">
        <f t="shared" si="25"/>
        <v>59.659643146142116</v>
      </c>
      <c r="AV38" s="15">
        <f t="shared" si="26"/>
        <v>49.629643146141461</v>
      </c>
    </row>
    <row r="39" spans="1:48" x14ac:dyDescent="0.25">
      <c r="A39" t="s">
        <v>52</v>
      </c>
      <c r="B39" s="37">
        <v>0.24</v>
      </c>
      <c r="E39" t="s">
        <v>52</v>
      </c>
      <c r="F39" s="37">
        <v>0.24</v>
      </c>
      <c r="I39" t="s">
        <v>52</v>
      </c>
      <c r="J39" s="37">
        <v>0.24</v>
      </c>
      <c r="M39" t="s">
        <v>52</v>
      </c>
      <c r="N39" s="37">
        <v>0.24</v>
      </c>
      <c r="Q39" t="s">
        <v>52</v>
      </c>
      <c r="R39" s="37">
        <v>0.24</v>
      </c>
      <c r="U39" s="4">
        <v>14500</v>
      </c>
      <c r="V39" s="7">
        <f t="shared" si="27"/>
        <v>32.335000000000001</v>
      </c>
      <c r="W39" s="7">
        <f t="shared" si="3"/>
        <v>2.1816615649929121</v>
      </c>
      <c r="X39" s="7">
        <f t="shared" si="4"/>
        <v>2.1816615649929121</v>
      </c>
      <c r="Y39" s="7">
        <f t="shared" si="5"/>
        <v>3.3545228223331018</v>
      </c>
      <c r="Z39" s="7">
        <f t="shared" si="6"/>
        <v>2.1816615649929121</v>
      </c>
      <c r="AA39" s="7">
        <f t="shared" si="7"/>
        <v>2.1816615649929121</v>
      </c>
      <c r="AB39" s="8">
        <f t="shared" si="28"/>
        <v>14.821272244444135</v>
      </c>
      <c r="AC39" s="8">
        <f t="shared" si="9"/>
        <v>14.821272244444135</v>
      </c>
      <c r="AD39" s="8">
        <f t="shared" si="10"/>
        <v>9.6392249248466015</v>
      </c>
      <c r="AE39" s="8">
        <f t="shared" si="11"/>
        <v>14.821272244444135</v>
      </c>
      <c r="AF39" s="8">
        <f t="shared" si="12"/>
        <v>14.821272244444135</v>
      </c>
      <c r="AG39" s="8">
        <f t="shared" si="13"/>
        <v>0.17055132837261652</v>
      </c>
      <c r="AH39" s="8">
        <f t="shared" si="14"/>
        <v>12.347916174177435</v>
      </c>
      <c r="AI39" s="8">
        <f t="shared" si="15"/>
        <v>1.0965083763254007</v>
      </c>
      <c r="AJ39" s="8">
        <f t="shared" si="16"/>
        <v>1.0233079702356989</v>
      </c>
      <c r="AK39" s="8">
        <f t="shared" si="17"/>
        <v>5.8669656960180072</v>
      </c>
      <c r="AL39" s="8">
        <f t="shared" si="18"/>
        <v>0.41106562875837394</v>
      </c>
      <c r="AM39" s="8">
        <f t="shared" si="19"/>
        <v>2.2394020723785935</v>
      </c>
      <c r="AN39" s="8">
        <f t="shared" si="20"/>
        <v>12.285143767031638</v>
      </c>
      <c r="AO39" s="8">
        <f t="shared" si="21"/>
        <v>5.1678509362582936</v>
      </c>
      <c r="AP39" s="8">
        <f t="shared" si="22"/>
        <v>1.7226169787527643</v>
      </c>
      <c r="AQ39" s="8">
        <f t="shared" si="23"/>
        <v>20.505249545129157</v>
      </c>
      <c r="AR39" s="31">
        <f t="shared" si="24"/>
        <v>21.826079383179664</v>
      </c>
      <c r="AS39" s="8">
        <f t="shared" si="0"/>
        <v>20.090000000000146</v>
      </c>
      <c r="AT39" s="8">
        <f t="shared" si="1"/>
        <v>10.059999999999491</v>
      </c>
      <c r="AU39" s="8">
        <f t="shared" si="25"/>
        <v>62.421328928308967</v>
      </c>
      <c r="AV39" s="15">
        <f t="shared" si="26"/>
        <v>52.391328928308312</v>
      </c>
    </row>
    <row r="40" spans="1:48" x14ac:dyDescent="0.25">
      <c r="A40" t="s">
        <v>53</v>
      </c>
      <c r="B40" s="37">
        <v>0.72</v>
      </c>
      <c r="C40">
        <v>0</v>
      </c>
      <c r="E40" t="s">
        <v>53</v>
      </c>
      <c r="F40" s="37">
        <v>0.72</v>
      </c>
      <c r="G40">
        <v>0</v>
      </c>
      <c r="I40" t="s">
        <v>53</v>
      </c>
      <c r="J40" s="37">
        <v>0.72</v>
      </c>
      <c r="K40">
        <v>0</v>
      </c>
      <c r="M40" t="s">
        <v>53</v>
      </c>
      <c r="N40" s="37">
        <v>0.72</v>
      </c>
      <c r="O40">
        <v>0</v>
      </c>
      <c r="Q40" t="s">
        <v>53</v>
      </c>
      <c r="R40" s="37">
        <v>0.72</v>
      </c>
      <c r="S40">
        <v>1</v>
      </c>
      <c r="U40" s="4">
        <v>15000</v>
      </c>
      <c r="V40" s="7">
        <f t="shared" si="27"/>
        <v>33.450000000000003</v>
      </c>
      <c r="W40" s="7">
        <f t="shared" si="3"/>
        <v>2.1816615649929121</v>
      </c>
      <c r="X40" s="7">
        <f t="shared" si="4"/>
        <v>2.1816615649929121</v>
      </c>
      <c r="Y40" s="7">
        <f t="shared" si="5"/>
        <v>3.3545228223331018</v>
      </c>
      <c r="Z40" s="7">
        <f t="shared" si="6"/>
        <v>2.1816615649929121</v>
      </c>
      <c r="AA40" s="7">
        <f t="shared" si="7"/>
        <v>2.1816615649929121</v>
      </c>
      <c r="AB40" s="8">
        <f t="shared" si="28"/>
        <v>15.332350597700829</v>
      </c>
      <c r="AC40" s="8">
        <f t="shared" si="9"/>
        <v>15.332350597700829</v>
      </c>
      <c r="AD40" s="8">
        <f t="shared" si="10"/>
        <v>9.9716119912206214</v>
      </c>
      <c r="AE40" s="8">
        <f t="shared" si="11"/>
        <v>15.332350597700829</v>
      </c>
      <c r="AF40" s="8">
        <f t="shared" si="12"/>
        <v>15.332350597700829</v>
      </c>
      <c r="AG40" s="8">
        <f t="shared" si="13"/>
        <v>0.18251628482206286</v>
      </c>
      <c r="AH40" s="8">
        <f t="shared" si="14"/>
        <v>13.214179021117351</v>
      </c>
      <c r="AI40" s="8">
        <f t="shared" si="15"/>
        <v>1.1734334586122004</v>
      </c>
      <c r="AJ40" s="8">
        <f t="shared" si="16"/>
        <v>1.095097708932377</v>
      </c>
      <c r="AK40" s="8">
        <f t="shared" si="17"/>
        <v>6.2785601978789627</v>
      </c>
      <c r="AL40" s="8">
        <f t="shared" si="18"/>
        <v>0.4376724296328528</v>
      </c>
      <c r="AM40" s="8">
        <f t="shared" si="19"/>
        <v>2.3843505206291669</v>
      </c>
      <c r="AN40" s="8">
        <f t="shared" si="20"/>
        <v>13.080316973098626</v>
      </c>
      <c r="AO40" s="8">
        <f t="shared" si="21"/>
        <v>5.5023473552980784</v>
      </c>
      <c r="AP40" s="8">
        <f t="shared" si="22"/>
        <v>1.8341157850993595</v>
      </c>
      <c r="AQ40" s="8">
        <f t="shared" si="23"/>
        <v>21.943786671362954</v>
      </c>
      <c r="AR40" s="31">
        <f t="shared" si="24"/>
        <v>23.238803063758084</v>
      </c>
      <c r="AS40" s="8">
        <f t="shared" si="0"/>
        <v>20.090000000000146</v>
      </c>
      <c r="AT40" s="8">
        <f t="shared" si="1"/>
        <v>10.059999999999491</v>
      </c>
      <c r="AU40" s="8">
        <f t="shared" si="25"/>
        <v>65.272589735121187</v>
      </c>
      <c r="AV40" s="15">
        <f t="shared" si="26"/>
        <v>55.242589735120532</v>
      </c>
    </row>
    <row r="41" spans="1:48" x14ac:dyDescent="0.25">
      <c r="A41" t="s">
        <v>54</v>
      </c>
      <c r="B41" s="37">
        <v>0.04</v>
      </c>
      <c r="E41" t="s">
        <v>54</v>
      </c>
      <c r="F41" s="37">
        <v>0.04</v>
      </c>
      <c r="I41" t="s">
        <v>54</v>
      </c>
      <c r="J41" s="37">
        <v>0.04</v>
      </c>
      <c r="M41" t="s">
        <v>54</v>
      </c>
      <c r="N41" s="37">
        <v>0.04</v>
      </c>
      <c r="Q41" t="s">
        <v>54</v>
      </c>
      <c r="R41" s="37">
        <v>0.04</v>
      </c>
      <c r="U41" s="4">
        <v>15500</v>
      </c>
      <c r="V41" s="7">
        <f t="shared" si="27"/>
        <v>34.565000000000005</v>
      </c>
      <c r="W41" s="7">
        <f t="shared" si="3"/>
        <v>2.1816615649929121</v>
      </c>
      <c r="X41" s="7">
        <f t="shared" si="4"/>
        <v>2.1816615649929121</v>
      </c>
      <c r="Y41" s="7">
        <f t="shared" si="5"/>
        <v>3.3545228223331018</v>
      </c>
      <c r="Z41" s="7">
        <f t="shared" si="6"/>
        <v>2.1816615649929121</v>
      </c>
      <c r="AA41" s="7">
        <f t="shared" si="7"/>
        <v>2.1816615649929121</v>
      </c>
      <c r="AB41" s="8">
        <f t="shared" si="28"/>
        <v>15.843428950957525</v>
      </c>
      <c r="AC41" s="8">
        <f t="shared" si="9"/>
        <v>15.843428950957525</v>
      </c>
      <c r="AD41" s="8">
        <f t="shared" si="10"/>
        <v>10.303999057594643</v>
      </c>
      <c r="AE41" s="8">
        <f t="shared" si="11"/>
        <v>15.843428950957525</v>
      </c>
      <c r="AF41" s="8">
        <f t="shared" si="12"/>
        <v>15.843428950957525</v>
      </c>
      <c r="AG41" s="8">
        <f t="shared" si="13"/>
        <v>0.19488683301555829</v>
      </c>
      <c r="AH41" s="8">
        <f t="shared" si="14"/>
        <v>14.109806710326421</v>
      </c>
      <c r="AI41" s="8">
        <f t="shared" si="15"/>
        <v>1.2529661708070277</v>
      </c>
      <c r="AJ41" s="8">
        <f t="shared" si="16"/>
        <v>1.1693209980933497</v>
      </c>
      <c r="AK41" s="8">
        <f t="shared" si="17"/>
        <v>6.7041070557352045</v>
      </c>
      <c r="AL41" s="8">
        <f t="shared" si="18"/>
        <v>0.4650439537196373</v>
      </c>
      <c r="AM41" s="8">
        <f t="shared" si="19"/>
        <v>2.5334650256517599</v>
      </c>
      <c r="AN41" s="8">
        <f t="shared" si="20"/>
        <v>13.898344764779045</v>
      </c>
      <c r="AO41" s="8">
        <f t="shared" si="21"/>
        <v>5.8464577515040617</v>
      </c>
      <c r="AP41" s="8">
        <f t="shared" si="22"/>
        <v>1.9488192505013537</v>
      </c>
      <c r="AQ41" s="8">
        <f t="shared" si="23"/>
        <v>23.431087767977562</v>
      </c>
      <c r="AR41" s="31">
        <f t="shared" si="24"/>
        <v>24.692130746155858</v>
      </c>
      <c r="AS41" s="8">
        <f t="shared" si="0"/>
        <v>20.090000000000146</v>
      </c>
      <c r="AT41" s="8">
        <f t="shared" si="1"/>
        <v>10.059999999999491</v>
      </c>
      <c r="AU41" s="8">
        <f t="shared" si="25"/>
        <v>68.213218514133558</v>
      </c>
      <c r="AV41" s="15">
        <f t="shared" si="26"/>
        <v>58.183218514132911</v>
      </c>
    </row>
    <row r="42" spans="1:48" x14ac:dyDescent="0.25">
      <c r="A42" t="s">
        <v>55</v>
      </c>
      <c r="B42" s="37">
        <v>0.04</v>
      </c>
      <c r="E42" t="s">
        <v>55</v>
      </c>
      <c r="F42" s="37">
        <v>0.04</v>
      </c>
      <c r="I42" t="s">
        <v>55</v>
      </c>
      <c r="J42" s="37">
        <v>0.04</v>
      </c>
      <c r="M42" t="s">
        <v>55</v>
      </c>
      <c r="N42" s="37">
        <v>0.04</v>
      </c>
      <c r="Q42" t="s">
        <v>55</v>
      </c>
      <c r="R42" s="37">
        <v>0.04</v>
      </c>
      <c r="U42" s="4">
        <v>16000</v>
      </c>
      <c r="V42" s="7">
        <f t="shared" si="27"/>
        <v>35.680000000000007</v>
      </c>
      <c r="W42" s="7">
        <f t="shared" si="3"/>
        <v>2.1816615649929121</v>
      </c>
      <c r="X42" s="7">
        <f t="shared" si="4"/>
        <v>2.1816615649929121</v>
      </c>
      <c r="Y42" s="7">
        <f t="shared" si="5"/>
        <v>3.3545228223331018</v>
      </c>
      <c r="Z42" s="7">
        <f t="shared" si="6"/>
        <v>2.1816615649929121</v>
      </c>
      <c r="AA42" s="7">
        <f t="shared" si="7"/>
        <v>2.1816615649929121</v>
      </c>
      <c r="AB42" s="8">
        <f t="shared" si="28"/>
        <v>16.35450730421422</v>
      </c>
      <c r="AC42" s="8">
        <f t="shared" si="9"/>
        <v>16.35450730421422</v>
      </c>
      <c r="AD42" s="8">
        <f t="shared" si="10"/>
        <v>10.636386123968665</v>
      </c>
      <c r="AE42" s="8">
        <f t="shared" si="11"/>
        <v>16.35450730421422</v>
      </c>
      <c r="AF42" s="8">
        <f t="shared" si="12"/>
        <v>16.35450730421422</v>
      </c>
      <c r="AG42" s="8">
        <f t="shared" si="13"/>
        <v>0.20766297295310271</v>
      </c>
      <c r="AH42" s="8">
        <f t="shared" si="14"/>
        <v>15.034799241804636</v>
      </c>
      <c r="AI42" s="8">
        <f t="shared" si="15"/>
        <v>1.3351065129098818</v>
      </c>
      <c r="AJ42" s="8">
        <f t="shared" si="16"/>
        <v>1.2459778377186161</v>
      </c>
      <c r="AK42" s="8">
        <f t="shared" si="17"/>
        <v>7.1436062695867326</v>
      </c>
      <c r="AL42" s="8">
        <f t="shared" si="18"/>
        <v>0.49317644821077355</v>
      </c>
      <c r="AM42" s="8">
        <f t="shared" si="19"/>
        <v>2.6867251429107037</v>
      </c>
      <c r="AN42" s="8">
        <f t="shared" si="20"/>
        <v>14.739114985322042</v>
      </c>
      <c r="AO42" s="8">
        <f t="shared" si="21"/>
        <v>6.2001349451785472</v>
      </c>
      <c r="AP42" s="8">
        <f t="shared" si="22"/>
        <v>2.0667116483928489</v>
      </c>
      <c r="AQ42" s="8">
        <f t="shared" si="23"/>
        <v>24.967152834972971</v>
      </c>
      <c r="AR42" s="31">
        <f t="shared" si="24"/>
        <v>26.185863170014915</v>
      </c>
      <c r="AS42" s="8">
        <f t="shared" si="0"/>
        <v>20.090000000000146</v>
      </c>
      <c r="AT42" s="8">
        <f t="shared" si="1"/>
        <v>10.059999999999491</v>
      </c>
      <c r="AU42" s="8">
        <f t="shared" si="25"/>
        <v>71.243016004988036</v>
      </c>
      <c r="AV42" s="15">
        <f t="shared" si="26"/>
        <v>61.213016004987381</v>
      </c>
    </row>
    <row r="43" spans="1:48" x14ac:dyDescent="0.25">
      <c r="A43" t="s">
        <v>78</v>
      </c>
      <c r="B43" s="37">
        <v>0.3</v>
      </c>
      <c r="C43">
        <v>0</v>
      </c>
      <c r="E43" t="s">
        <v>78</v>
      </c>
      <c r="F43" s="37">
        <v>0.3</v>
      </c>
      <c r="G43">
        <v>2</v>
      </c>
      <c r="I43" t="s">
        <v>78</v>
      </c>
      <c r="J43" s="37">
        <v>0.3</v>
      </c>
      <c r="M43" t="s">
        <v>78</v>
      </c>
      <c r="N43" s="37">
        <v>0.3</v>
      </c>
      <c r="O43">
        <v>1</v>
      </c>
      <c r="Q43" t="s">
        <v>78</v>
      </c>
      <c r="R43" s="37">
        <v>0.3</v>
      </c>
      <c r="S43">
        <v>0</v>
      </c>
      <c r="U43" s="4">
        <v>16500</v>
      </c>
      <c r="V43" s="7">
        <f t="shared" si="27"/>
        <v>36.795000000000002</v>
      </c>
      <c r="W43" s="7">
        <f t="shared" si="3"/>
        <v>2.1816615649929121</v>
      </c>
      <c r="X43" s="7">
        <f t="shared" si="4"/>
        <v>2.1816615649929121</v>
      </c>
      <c r="Y43" s="7">
        <f t="shared" si="5"/>
        <v>3.3545228223331018</v>
      </c>
      <c r="Z43" s="7">
        <f t="shared" si="6"/>
        <v>2.1816615649929121</v>
      </c>
      <c r="AA43" s="7">
        <f t="shared" si="7"/>
        <v>2.1816615649929121</v>
      </c>
      <c r="AB43" s="8">
        <f t="shared" si="28"/>
        <v>16.865585657470913</v>
      </c>
      <c r="AC43" s="8">
        <f t="shared" si="9"/>
        <v>16.865585657470913</v>
      </c>
      <c r="AD43" s="8">
        <f t="shared" si="10"/>
        <v>10.968773190342684</v>
      </c>
      <c r="AE43" s="8">
        <f t="shared" si="11"/>
        <v>16.865585657470913</v>
      </c>
      <c r="AF43" s="8">
        <f t="shared" si="12"/>
        <v>16.865585657470913</v>
      </c>
      <c r="AG43" s="8">
        <f t="shared" si="13"/>
        <v>0.22084470463469608</v>
      </c>
      <c r="AH43" s="8">
        <f t="shared" si="14"/>
        <v>15.989156615551995</v>
      </c>
      <c r="AI43" s="8">
        <f t="shared" si="15"/>
        <v>1.4198544849207628</v>
      </c>
      <c r="AJ43" s="8">
        <f t="shared" si="16"/>
        <v>1.3250682278081765</v>
      </c>
      <c r="AK43" s="8">
        <f t="shared" si="17"/>
        <v>7.5970578394335444</v>
      </c>
      <c r="AL43" s="8">
        <f t="shared" si="18"/>
        <v>0.52206629705154617</v>
      </c>
      <c r="AM43" s="8">
        <f t="shared" si="19"/>
        <v>2.8441111728742041</v>
      </c>
      <c r="AN43" s="8">
        <f t="shared" si="20"/>
        <v>15.602519564996413</v>
      </c>
      <c r="AO43" s="8">
        <f t="shared" si="21"/>
        <v>6.5633334758635486</v>
      </c>
      <c r="AP43" s="8">
        <f t="shared" si="22"/>
        <v>2.1877778252878493</v>
      </c>
      <c r="AQ43" s="8">
        <f t="shared" si="23"/>
        <v>26.551981872349174</v>
      </c>
      <c r="AR43" s="31">
        <f t="shared" si="24"/>
        <v>27.719808336073562</v>
      </c>
      <c r="AS43" s="8">
        <f t="shared" si="0"/>
        <v>20.090000000000146</v>
      </c>
      <c r="AT43" s="8">
        <f t="shared" si="1"/>
        <v>10.059999999999491</v>
      </c>
      <c r="AU43" s="8">
        <f t="shared" si="25"/>
        <v>74.361790208422889</v>
      </c>
      <c r="AV43" s="15">
        <f t="shared" si="26"/>
        <v>64.331790208422234</v>
      </c>
    </row>
    <row r="44" spans="1:48" x14ac:dyDescent="0.25">
      <c r="A44" t="s">
        <v>56</v>
      </c>
      <c r="B44" s="37">
        <v>0.1</v>
      </c>
      <c r="E44" t="s">
        <v>56</v>
      </c>
      <c r="F44" s="37">
        <v>0.1</v>
      </c>
      <c r="I44" t="s">
        <v>56</v>
      </c>
      <c r="J44" s="37">
        <v>0.1</v>
      </c>
      <c r="M44" t="s">
        <v>56</v>
      </c>
      <c r="N44" s="37">
        <v>0.1</v>
      </c>
      <c r="Q44" t="s">
        <v>56</v>
      </c>
      <c r="R44" s="37">
        <v>0.1</v>
      </c>
      <c r="U44" s="4">
        <v>17000</v>
      </c>
      <c r="V44" s="7">
        <f t="shared" si="27"/>
        <v>37.910000000000004</v>
      </c>
      <c r="W44" s="7">
        <f t="shared" si="3"/>
        <v>2.1816615649929121</v>
      </c>
      <c r="X44" s="7">
        <f t="shared" si="4"/>
        <v>2.1816615649929121</v>
      </c>
      <c r="Y44" s="7">
        <f t="shared" si="5"/>
        <v>3.3545228223331018</v>
      </c>
      <c r="Z44" s="7">
        <f t="shared" si="6"/>
        <v>2.1816615649929121</v>
      </c>
      <c r="AA44" s="7">
        <f t="shared" si="7"/>
        <v>2.1816615649929121</v>
      </c>
      <c r="AB44" s="8">
        <f t="shared" si="28"/>
        <v>17.376664010727605</v>
      </c>
      <c r="AC44" s="8">
        <f t="shared" si="9"/>
        <v>17.376664010727605</v>
      </c>
      <c r="AD44" s="8">
        <f t="shared" si="10"/>
        <v>11.301160256716706</v>
      </c>
      <c r="AE44" s="8">
        <f t="shared" si="11"/>
        <v>17.376664010727605</v>
      </c>
      <c r="AF44" s="8">
        <f t="shared" si="12"/>
        <v>17.376664010727605</v>
      </c>
      <c r="AG44" s="8">
        <f t="shared" si="13"/>
        <v>0.23443202806033847</v>
      </c>
      <c r="AH44" s="8">
        <f t="shared" si="14"/>
        <v>16.972878831568504</v>
      </c>
      <c r="AI44" s="8">
        <f t="shared" si="15"/>
        <v>1.5072100868396712</v>
      </c>
      <c r="AJ44" s="8">
        <f t="shared" si="16"/>
        <v>1.4065921683620306</v>
      </c>
      <c r="AK44" s="8">
        <f t="shared" si="17"/>
        <v>8.0644617652756434</v>
      </c>
      <c r="AL44" s="8">
        <f t="shared" si="18"/>
        <v>0.55171001190796798</v>
      </c>
      <c r="AM44" s="8">
        <f t="shared" si="19"/>
        <v>3.0056041118070569</v>
      </c>
      <c r="AN44" s="8">
        <f t="shared" si="20"/>
        <v>16.488454251143835</v>
      </c>
      <c r="AO44" s="8">
        <f t="shared" si="21"/>
        <v>6.9360094887855173</v>
      </c>
      <c r="AP44" s="8">
        <f t="shared" si="22"/>
        <v>2.3120031629285056</v>
      </c>
      <c r="AQ44" s="8">
        <f t="shared" si="23"/>
        <v>28.185574880106188</v>
      </c>
      <c r="AR44" s="31">
        <f t="shared" si="24"/>
        <v>29.29378102657288</v>
      </c>
      <c r="AS44" s="8">
        <f t="shared" si="0"/>
        <v>20.090000000000146</v>
      </c>
      <c r="AT44" s="8">
        <f t="shared" si="1"/>
        <v>10.059999999999491</v>
      </c>
      <c r="AU44" s="8">
        <f t="shared" si="25"/>
        <v>77.56935590667922</v>
      </c>
      <c r="AV44" s="15">
        <f t="shared" si="26"/>
        <v>67.539355906678566</v>
      </c>
    </row>
    <row r="45" spans="1:48" x14ac:dyDescent="0.25">
      <c r="A45" t="s">
        <v>57</v>
      </c>
      <c r="B45" s="37">
        <v>0.9</v>
      </c>
      <c r="E45" t="s">
        <v>57</v>
      </c>
      <c r="F45" s="37">
        <v>0.9</v>
      </c>
      <c r="I45" t="s">
        <v>57</v>
      </c>
      <c r="J45" s="37">
        <v>0.9</v>
      </c>
      <c r="M45" t="s">
        <v>57</v>
      </c>
      <c r="N45" s="37">
        <v>0.9</v>
      </c>
      <c r="Q45" t="s">
        <v>57</v>
      </c>
      <c r="R45" s="37">
        <v>0.9</v>
      </c>
      <c r="U45" s="4">
        <v>17500</v>
      </c>
      <c r="V45" s="7">
        <f t="shared" si="27"/>
        <v>39.025000000000006</v>
      </c>
      <c r="W45" s="7">
        <f t="shared" si="3"/>
        <v>2.1816615649929121</v>
      </c>
      <c r="X45" s="7">
        <f t="shared" si="4"/>
        <v>2.1816615649929121</v>
      </c>
      <c r="Y45" s="7">
        <f t="shared" si="5"/>
        <v>3.3545228223331018</v>
      </c>
      <c r="Z45" s="7">
        <f t="shared" si="6"/>
        <v>2.1816615649929121</v>
      </c>
      <c r="AA45" s="7">
        <f t="shared" si="7"/>
        <v>2.1816615649929121</v>
      </c>
      <c r="AB45" s="8">
        <f t="shared" si="28"/>
        <v>17.887742363984302</v>
      </c>
      <c r="AC45" s="8">
        <f t="shared" si="9"/>
        <v>17.887742363984302</v>
      </c>
      <c r="AD45" s="8">
        <f t="shared" si="10"/>
        <v>11.633547323090726</v>
      </c>
      <c r="AE45" s="8">
        <f t="shared" si="11"/>
        <v>17.887742363984302</v>
      </c>
      <c r="AF45" s="8">
        <f t="shared" si="12"/>
        <v>17.887742363984302</v>
      </c>
      <c r="AG45" s="8">
        <f t="shared" si="13"/>
        <v>0.24842494323003003</v>
      </c>
      <c r="AH45" s="8">
        <f t="shared" si="14"/>
        <v>17.985965889854175</v>
      </c>
      <c r="AI45" s="8">
        <f t="shared" si="15"/>
        <v>1.5971733186666064</v>
      </c>
      <c r="AJ45" s="8">
        <f t="shared" si="16"/>
        <v>1.4905496593801801</v>
      </c>
      <c r="AK45" s="8">
        <f t="shared" si="17"/>
        <v>8.5458180471130341</v>
      </c>
      <c r="AL45" s="8">
        <f t="shared" si="18"/>
        <v>0.58210422398246642</v>
      </c>
      <c r="AM45" s="8">
        <f t="shared" si="19"/>
        <v>3.171185607184174</v>
      </c>
      <c r="AN45" s="8">
        <f t="shared" si="20"/>
        <v>17.396818363581822</v>
      </c>
      <c r="AO45" s="8">
        <f t="shared" si="21"/>
        <v>7.3181206319634793</v>
      </c>
      <c r="AP45" s="8">
        <f t="shared" si="22"/>
        <v>2.4393735439878261</v>
      </c>
      <c r="AQ45" s="8">
        <f t="shared" si="23"/>
        <v>29.867931858244024</v>
      </c>
      <c r="AR45" s="31">
        <f t="shared" si="24"/>
        <v>30.90760237069977</v>
      </c>
      <c r="AS45" s="8">
        <f t="shared" si="0"/>
        <v>20.090000000000146</v>
      </c>
      <c r="AT45" s="8">
        <f t="shared" si="1"/>
        <v>10.059999999999491</v>
      </c>
      <c r="AU45" s="8">
        <f t="shared" si="25"/>
        <v>80.865534228943943</v>
      </c>
      <c r="AV45" s="15">
        <f t="shared" si="26"/>
        <v>70.835534228943288</v>
      </c>
    </row>
    <row r="46" spans="1:48" x14ac:dyDescent="0.25">
      <c r="A46" t="s">
        <v>58</v>
      </c>
      <c r="B46" s="37">
        <v>4.5</v>
      </c>
      <c r="E46" t="s">
        <v>58</v>
      </c>
      <c r="F46" s="37">
        <v>4.5</v>
      </c>
      <c r="I46" t="s">
        <v>58</v>
      </c>
      <c r="J46" s="37">
        <v>4.5</v>
      </c>
      <c r="M46" t="s">
        <v>58</v>
      </c>
      <c r="N46" s="37">
        <v>4.5</v>
      </c>
      <c r="Q46" t="s">
        <v>58</v>
      </c>
      <c r="R46" s="37">
        <v>4.5</v>
      </c>
      <c r="U46" s="4">
        <v>18000</v>
      </c>
      <c r="V46" s="7">
        <f t="shared" si="27"/>
        <v>40.14</v>
      </c>
      <c r="W46" s="7">
        <f t="shared" si="3"/>
        <v>2.1816615649929121</v>
      </c>
      <c r="X46" s="7">
        <f t="shared" si="4"/>
        <v>2.1816615649929121</v>
      </c>
      <c r="Y46" s="7">
        <f t="shared" si="5"/>
        <v>3.3545228223331018</v>
      </c>
      <c r="Z46" s="7">
        <f t="shared" si="6"/>
        <v>2.1816615649929121</v>
      </c>
      <c r="AA46" s="7">
        <f t="shared" si="7"/>
        <v>2.1816615649929121</v>
      </c>
      <c r="AB46" s="8">
        <f t="shared" si="28"/>
        <v>18.398820717240994</v>
      </c>
      <c r="AC46" s="8">
        <f t="shared" si="9"/>
        <v>18.398820717240994</v>
      </c>
      <c r="AD46" s="8">
        <f t="shared" si="10"/>
        <v>11.965934389464746</v>
      </c>
      <c r="AE46" s="8">
        <f t="shared" si="11"/>
        <v>18.398820717240994</v>
      </c>
      <c r="AF46" s="8">
        <f t="shared" si="12"/>
        <v>18.398820717240994</v>
      </c>
      <c r="AG46" s="8">
        <f t="shared" si="13"/>
        <v>0.26282345014377051</v>
      </c>
      <c r="AH46" s="8">
        <f t="shared" si="14"/>
        <v>19.028417790408984</v>
      </c>
      <c r="AI46" s="8">
        <f t="shared" si="15"/>
        <v>1.6897441804015685</v>
      </c>
      <c r="AJ46" s="8">
        <f t="shared" si="16"/>
        <v>1.5769407008626228</v>
      </c>
      <c r="AK46" s="8">
        <f t="shared" si="17"/>
        <v>9.0411266849457057</v>
      </c>
      <c r="AL46" s="8">
        <f t="shared" si="18"/>
        <v>0.61324567657586093</v>
      </c>
      <c r="AM46" s="8">
        <f t="shared" si="19"/>
        <v>3.3408379171697402</v>
      </c>
      <c r="AN46" s="8">
        <f t="shared" si="20"/>
        <v>18.327514572310413</v>
      </c>
      <c r="AO46" s="8">
        <f t="shared" si="21"/>
        <v>7.7096259626994019</v>
      </c>
      <c r="AP46" s="8">
        <f t="shared" si="22"/>
        <v>2.5698753208998006</v>
      </c>
      <c r="AQ46" s="8">
        <f t="shared" si="23"/>
        <v>31.59905280676265</v>
      </c>
      <c r="AR46" s="31">
        <f t="shared" si="24"/>
        <v>32.561099449655217</v>
      </c>
      <c r="AS46" s="8">
        <f t="shared" si="0"/>
        <v>20.090000000000146</v>
      </c>
      <c r="AT46" s="8">
        <f t="shared" si="1"/>
        <v>10.059999999999491</v>
      </c>
      <c r="AU46" s="8">
        <f t="shared" si="25"/>
        <v>84.250152256418005</v>
      </c>
      <c r="AV46" s="15">
        <f t="shared" si="26"/>
        <v>74.22015225641735</v>
      </c>
    </row>
    <row r="47" spans="1:48" x14ac:dyDescent="0.25">
      <c r="A47" t="s">
        <v>59</v>
      </c>
      <c r="B47" s="37">
        <v>24</v>
      </c>
      <c r="E47" t="s">
        <v>59</v>
      </c>
      <c r="F47" s="37">
        <v>24</v>
      </c>
      <c r="I47" t="s">
        <v>59</v>
      </c>
      <c r="J47" s="37">
        <v>24</v>
      </c>
      <c r="M47" t="s">
        <v>59</v>
      </c>
      <c r="N47" s="37">
        <v>24</v>
      </c>
      <c r="Q47" t="s">
        <v>59</v>
      </c>
      <c r="R47" s="37">
        <v>24</v>
      </c>
      <c r="U47" s="4">
        <v>18500</v>
      </c>
      <c r="V47" s="7">
        <f t="shared" si="27"/>
        <v>41.255000000000003</v>
      </c>
      <c r="W47" s="7">
        <f t="shared" si="3"/>
        <v>2.1816615649929121</v>
      </c>
      <c r="X47" s="7">
        <f t="shared" si="4"/>
        <v>2.1816615649929121</v>
      </c>
      <c r="Y47" s="7">
        <f t="shared" si="5"/>
        <v>3.3545228223331018</v>
      </c>
      <c r="Z47" s="7">
        <f t="shared" si="6"/>
        <v>2.1816615649929121</v>
      </c>
      <c r="AA47" s="7">
        <f t="shared" si="7"/>
        <v>2.1816615649929121</v>
      </c>
      <c r="AB47" s="8">
        <f t="shared" si="28"/>
        <v>18.909899070497691</v>
      </c>
      <c r="AC47" s="8">
        <f t="shared" si="9"/>
        <v>18.909899070497691</v>
      </c>
      <c r="AD47" s="8">
        <f t="shared" si="10"/>
        <v>12.298321455838767</v>
      </c>
      <c r="AE47" s="8">
        <f t="shared" si="11"/>
        <v>18.909899070497691</v>
      </c>
      <c r="AF47" s="8">
        <f t="shared" si="12"/>
        <v>18.909899070497691</v>
      </c>
      <c r="AG47" s="8">
        <f t="shared" si="13"/>
        <v>0.27762754880156004</v>
      </c>
      <c r="AH47" s="8">
        <f t="shared" si="14"/>
        <v>20.10023453323295</v>
      </c>
      <c r="AI47" s="8">
        <f t="shared" si="15"/>
        <v>1.7849226720445586</v>
      </c>
      <c r="AJ47" s="8">
        <f t="shared" si="16"/>
        <v>1.6657652928093605</v>
      </c>
      <c r="AK47" s="8">
        <f t="shared" si="17"/>
        <v>9.5503876787736672</v>
      </c>
      <c r="AL47" s="8">
        <f t="shared" si="18"/>
        <v>0.64513121830848608</v>
      </c>
      <c r="AM47" s="8">
        <f t="shared" si="19"/>
        <v>3.5145438736872743</v>
      </c>
      <c r="AN47" s="8">
        <f t="shared" si="20"/>
        <v>19.280448694917936</v>
      </c>
      <c r="AO47" s="8">
        <f t="shared" si="21"/>
        <v>8.1104858623552492</v>
      </c>
      <c r="AP47" s="8">
        <f t="shared" si="22"/>
        <v>2.7034952874517497</v>
      </c>
      <c r="AQ47" s="8">
        <f t="shared" si="23"/>
        <v>33.378937725662098</v>
      </c>
      <c r="AR47" s="31">
        <f t="shared" si="24"/>
        <v>34.254104936720694</v>
      </c>
      <c r="AS47" s="8">
        <f t="shared" si="0"/>
        <v>20.090000000000146</v>
      </c>
      <c r="AT47" s="8">
        <f t="shared" si="1"/>
        <v>10.059999999999491</v>
      </c>
      <c r="AU47" s="8">
        <f t="shared" si="25"/>
        <v>87.723042662382937</v>
      </c>
      <c r="AV47" s="15">
        <f t="shared" si="26"/>
        <v>77.693042662382283</v>
      </c>
    </row>
    <row r="48" spans="1:48" x14ac:dyDescent="0.25">
      <c r="A48" t="s">
        <v>60</v>
      </c>
      <c r="B48" s="37">
        <v>0.5</v>
      </c>
      <c r="E48" t="s">
        <v>60</v>
      </c>
      <c r="F48" s="37">
        <v>0.5</v>
      </c>
      <c r="I48" t="s">
        <v>60</v>
      </c>
      <c r="J48" s="37">
        <v>0.5</v>
      </c>
      <c r="M48" t="s">
        <v>60</v>
      </c>
      <c r="N48" s="37">
        <v>0.5</v>
      </c>
      <c r="Q48" t="s">
        <v>60</v>
      </c>
      <c r="R48" s="37">
        <v>0.5</v>
      </c>
      <c r="U48" s="4">
        <v>19000</v>
      </c>
      <c r="V48" s="7">
        <f t="shared" si="27"/>
        <v>42.370000000000005</v>
      </c>
      <c r="W48" s="7">
        <f t="shared" si="3"/>
        <v>2.1816615649929121</v>
      </c>
      <c r="X48" s="7">
        <f t="shared" si="4"/>
        <v>2.1816615649929121</v>
      </c>
      <c r="Y48" s="7">
        <f t="shared" si="5"/>
        <v>3.3545228223331018</v>
      </c>
      <c r="Z48" s="7">
        <f t="shared" si="6"/>
        <v>2.1816615649929121</v>
      </c>
      <c r="AA48" s="7">
        <f t="shared" si="7"/>
        <v>2.1816615649929121</v>
      </c>
      <c r="AB48" s="8">
        <f t="shared" si="28"/>
        <v>19.420977423754383</v>
      </c>
      <c r="AC48" s="8">
        <f t="shared" si="9"/>
        <v>19.420977423754383</v>
      </c>
      <c r="AD48" s="8">
        <f t="shared" si="10"/>
        <v>12.630708522212789</v>
      </c>
      <c r="AE48" s="8">
        <f t="shared" si="11"/>
        <v>19.420977423754383</v>
      </c>
      <c r="AF48" s="8">
        <f t="shared" si="12"/>
        <v>19.420977423754383</v>
      </c>
      <c r="AG48" s="8">
        <f t="shared" si="13"/>
        <v>0.2928372392033986</v>
      </c>
      <c r="AH48" s="8">
        <f t="shared" si="14"/>
        <v>21.201416118326058</v>
      </c>
      <c r="AI48" s="8">
        <f t="shared" si="15"/>
        <v>1.8827087935955755</v>
      </c>
      <c r="AJ48" s="8">
        <f t="shared" si="16"/>
        <v>1.7570234352203917</v>
      </c>
      <c r="AK48" s="8">
        <f t="shared" si="17"/>
        <v>10.073601028596912</v>
      </c>
      <c r="AL48" s="8">
        <f t="shared" si="18"/>
        <v>0.67775779692558191</v>
      </c>
      <c r="AM48" s="8">
        <f t="shared" si="19"/>
        <v>3.6922868486726506</v>
      </c>
      <c r="AN48" s="8">
        <f t="shared" si="20"/>
        <v>20.255529511448543</v>
      </c>
      <c r="AO48" s="8">
        <f t="shared" si="21"/>
        <v>8.5206619584753494</v>
      </c>
      <c r="AP48" s="8">
        <f t="shared" si="22"/>
        <v>2.8402206528251162</v>
      </c>
      <c r="AQ48" s="8">
        <f t="shared" si="23"/>
        <v>35.207586614942336</v>
      </c>
      <c r="AR48" s="31">
        <f t="shared" si="24"/>
        <v>35.986456768347246</v>
      </c>
      <c r="AS48" s="8">
        <f t="shared" si="0"/>
        <v>20.090000000000146</v>
      </c>
      <c r="AT48" s="8">
        <f t="shared" si="1"/>
        <v>10.059999999999491</v>
      </c>
      <c r="AU48" s="8">
        <f t="shared" si="25"/>
        <v>91.284043383289728</v>
      </c>
      <c r="AV48" s="15">
        <f t="shared" si="26"/>
        <v>81.254043383289073</v>
      </c>
    </row>
    <row r="49" spans="1:48" x14ac:dyDescent="0.25">
      <c r="A49" t="s">
        <v>61</v>
      </c>
      <c r="B49" s="37">
        <v>0.75</v>
      </c>
      <c r="E49" t="s">
        <v>61</v>
      </c>
      <c r="F49" s="37">
        <v>0.75</v>
      </c>
      <c r="I49" t="s">
        <v>61</v>
      </c>
      <c r="J49" s="37">
        <v>0.75</v>
      </c>
      <c r="M49" t="s">
        <v>61</v>
      </c>
      <c r="N49" s="37">
        <v>0.75</v>
      </c>
      <c r="Q49" t="s">
        <v>61</v>
      </c>
      <c r="R49" s="37">
        <v>0.75</v>
      </c>
      <c r="U49" s="4">
        <v>19500</v>
      </c>
      <c r="V49" s="7">
        <f t="shared" si="27"/>
        <v>43.485000000000007</v>
      </c>
      <c r="W49" s="7">
        <f t="shared" si="3"/>
        <v>2.1816615649929121</v>
      </c>
      <c r="X49" s="7">
        <f t="shared" si="4"/>
        <v>2.1816615649929121</v>
      </c>
      <c r="Y49" s="7">
        <f t="shared" si="5"/>
        <v>3.3545228223331018</v>
      </c>
      <c r="Z49" s="7">
        <f t="shared" si="6"/>
        <v>2.1816615649929121</v>
      </c>
      <c r="AA49" s="7">
        <f t="shared" si="7"/>
        <v>2.1816615649929121</v>
      </c>
      <c r="AB49" s="8">
        <f t="shared" si="28"/>
        <v>19.93205577701108</v>
      </c>
      <c r="AC49" s="8">
        <f t="shared" si="9"/>
        <v>19.93205577701108</v>
      </c>
      <c r="AD49" s="8">
        <f t="shared" si="10"/>
        <v>12.96309558858681</v>
      </c>
      <c r="AE49" s="8">
        <f t="shared" si="11"/>
        <v>19.93205577701108</v>
      </c>
      <c r="AF49" s="8">
        <f t="shared" si="12"/>
        <v>19.93205577701108</v>
      </c>
      <c r="AG49" s="8">
        <f t="shared" si="13"/>
        <v>0.30845252134928625</v>
      </c>
      <c r="AH49" s="8">
        <f t="shared" si="14"/>
        <v>22.331962545688327</v>
      </c>
      <c r="AI49" s="8">
        <f t="shared" si="15"/>
        <v>1.9831025450546194</v>
      </c>
      <c r="AJ49" s="8">
        <f t="shared" si="16"/>
        <v>1.8507151280957175</v>
      </c>
      <c r="AK49" s="8">
        <f t="shared" si="17"/>
        <v>10.610766734415447</v>
      </c>
      <c r="AL49" s="8">
        <f t="shared" si="18"/>
        <v>0.71112245362238058</v>
      </c>
      <c r="AM49" s="8">
        <f t="shared" si="19"/>
        <v>3.874050723158323</v>
      </c>
      <c r="AN49" s="8">
        <f t="shared" si="20"/>
        <v>21.252668594801037</v>
      </c>
      <c r="AO49" s="8">
        <f t="shared" si="21"/>
        <v>8.940117053442286</v>
      </c>
      <c r="AP49" s="8">
        <f t="shared" si="22"/>
        <v>2.9800390178140947</v>
      </c>
      <c r="AQ49" s="8">
        <f t="shared" si="23"/>
        <v>37.0849994746034</v>
      </c>
      <c r="AR49" s="31">
        <f t="shared" si="24"/>
        <v>37.757997842838122</v>
      </c>
      <c r="AS49" s="8">
        <f t="shared" si="0"/>
        <v>20.090000000000146</v>
      </c>
      <c r="AT49" s="8">
        <f t="shared" si="1"/>
        <v>10.059999999999491</v>
      </c>
      <c r="AU49" s="8">
        <f t="shared" si="25"/>
        <v>94.932997317441675</v>
      </c>
      <c r="AV49" s="15">
        <f t="shared" si="26"/>
        <v>84.90299731744102</v>
      </c>
    </row>
    <row r="50" spans="1:48" x14ac:dyDescent="0.25">
      <c r="A50" t="s">
        <v>62</v>
      </c>
      <c r="B50" s="37">
        <v>0.5</v>
      </c>
      <c r="E50" t="s">
        <v>62</v>
      </c>
      <c r="F50" s="37">
        <v>0.5</v>
      </c>
      <c r="I50" t="s">
        <v>62</v>
      </c>
      <c r="J50" s="37">
        <v>0.5</v>
      </c>
      <c r="M50" t="s">
        <v>62</v>
      </c>
      <c r="N50" s="37">
        <v>0.5</v>
      </c>
      <c r="Q50" t="s">
        <v>62</v>
      </c>
      <c r="R50" s="37">
        <v>0.5</v>
      </c>
      <c r="U50" s="4">
        <v>20000</v>
      </c>
      <c r="V50" s="7">
        <f t="shared" si="27"/>
        <v>44.6</v>
      </c>
      <c r="W50" s="7">
        <f t="shared" si="3"/>
        <v>2.1816615649929121</v>
      </c>
      <c r="X50" s="7">
        <f t="shared" si="4"/>
        <v>2.1816615649929121</v>
      </c>
      <c r="Y50" s="7">
        <f t="shared" si="5"/>
        <v>3.3545228223331018</v>
      </c>
      <c r="Z50" s="7">
        <f t="shared" si="6"/>
        <v>2.1816615649929121</v>
      </c>
      <c r="AA50" s="7">
        <f t="shared" si="7"/>
        <v>2.1816615649929121</v>
      </c>
      <c r="AB50" s="8">
        <f t="shared" si="28"/>
        <v>20.443134130267772</v>
      </c>
      <c r="AC50" s="8">
        <f t="shared" si="9"/>
        <v>20.443134130267772</v>
      </c>
      <c r="AD50" s="8">
        <f t="shared" si="10"/>
        <v>13.295482654960828</v>
      </c>
      <c r="AE50" s="8">
        <f t="shared" si="11"/>
        <v>20.443134130267772</v>
      </c>
      <c r="AF50" s="8">
        <f t="shared" si="12"/>
        <v>20.443134130267772</v>
      </c>
      <c r="AG50" s="8">
        <f t="shared" si="13"/>
        <v>0.32447339523922286</v>
      </c>
      <c r="AH50" s="8">
        <f t="shared" si="14"/>
        <v>23.491873815319732</v>
      </c>
      <c r="AI50" s="8">
        <f t="shared" si="15"/>
        <v>2.0861039264216896</v>
      </c>
      <c r="AJ50" s="8">
        <f t="shared" si="16"/>
        <v>1.9468403714353371</v>
      </c>
      <c r="AK50" s="8">
        <f t="shared" si="17"/>
        <v>11.161884796229266</v>
      </c>
      <c r="AL50" s="8">
        <f t="shared" si="18"/>
        <v>0.74522231783291992</v>
      </c>
      <c r="AM50" s="8">
        <f t="shared" si="19"/>
        <v>4.0598198588838432</v>
      </c>
      <c r="AN50" s="8">
        <f t="shared" si="20"/>
        <v>22.271780154986867</v>
      </c>
      <c r="AO50" s="8">
        <f t="shared" si="21"/>
        <v>9.3688150589627153</v>
      </c>
      <c r="AP50" s="8">
        <f t="shared" si="22"/>
        <v>3.1229383529875716</v>
      </c>
      <c r="AQ50" s="8">
        <f t="shared" si="23"/>
        <v>39.011176304645247</v>
      </c>
      <c r="AR50" s="31">
        <f t="shared" si="24"/>
        <v>39.568575743653923</v>
      </c>
      <c r="AS50" s="8">
        <f t="shared" si="0"/>
        <v>20.090000000000146</v>
      </c>
      <c r="AT50" s="8">
        <f t="shared" si="1"/>
        <v>10.059999999999491</v>
      </c>
      <c r="AU50" s="8">
        <f t="shared" si="25"/>
        <v>98.669752048299316</v>
      </c>
      <c r="AV50" s="15">
        <f t="shared" si="26"/>
        <v>88.639752048298661</v>
      </c>
    </row>
    <row r="51" spans="1:48" x14ac:dyDescent="0.25">
      <c r="A51" t="s">
        <v>63</v>
      </c>
      <c r="B51" s="37">
        <v>0.66</v>
      </c>
      <c r="E51" t="s">
        <v>63</v>
      </c>
      <c r="F51" s="37">
        <v>0.66</v>
      </c>
      <c r="I51" t="s">
        <v>63</v>
      </c>
      <c r="J51" s="37">
        <v>0.66</v>
      </c>
      <c r="M51" t="s">
        <v>63</v>
      </c>
      <c r="N51" s="37">
        <v>0.66</v>
      </c>
      <c r="Q51" t="s">
        <v>63</v>
      </c>
      <c r="R51" s="37">
        <v>0.66</v>
      </c>
      <c r="U51" s="4">
        <v>20500</v>
      </c>
      <c r="V51" s="7">
        <f t="shared" si="27"/>
        <v>45.715000000000003</v>
      </c>
      <c r="W51" s="7">
        <f t="shared" si="3"/>
        <v>2.1816615649929121</v>
      </c>
      <c r="X51" s="7">
        <f t="shared" si="4"/>
        <v>2.1816615649929121</v>
      </c>
      <c r="Y51" s="7">
        <f t="shared" si="5"/>
        <v>3.3545228223331018</v>
      </c>
      <c r="Z51" s="7">
        <f t="shared" si="6"/>
        <v>2.1816615649929121</v>
      </c>
      <c r="AA51" s="7">
        <f t="shared" si="7"/>
        <v>2.1816615649929121</v>
      </c>
      <c r="AB51" s="8">
        <f t="shared" si="28"/>
        <v>20.954212483524469</v>
      </c>
      <c r="AC51" s="8">
        <f t="shared" si="9"/>
        <v>20.954212483524469</v>
      </c>
      <c r="AD51" s="8">
        <f t="shared" si="10"/>
        <v>13.62786972133485</v>
      </c>
      <c r="AE51" s="8">
        <f t="shared" si="11"/>
        <v>20.954212483524469</v>
      </c>
      <c r="AF51" s="8">
        <f t="shared" si="12"/>
        <v>20.954212483524469</v>
      </c>
      <c r="AG51" s="8">
        <f t="shared" si="13"/>
        <v>0.34089986087320862</v>
      </c>
      <c r="AH51" s="8">
        <f t="shared" si="14"/>
        <v>24.6811499272203</v>
      </c>
      <c r="AI51" s="8">
        <f t="shared" si="15"/>
        <v>2.1917129376967877</v>
      </c>
      <c r="AJ51" s="8">
        <f t="shared" si="16"/>
        <v>2.0453991652392514</v>
      </c>
      <c r="AK51" s="8">
        <f t="shared" si="17"/>
        <v>11.726955214038375</v>
      </c>
      <c r="AL51" s="8">
        <f t="shared" si="18"/>
        <v>0.78005460243391256</v>
      </c>
      <c r="AM51" s="8">
        <f t="shared" si="19"/>
        <v>4.2495790721675073</v>
      </c>
      <c r="AN51" s="8">
        <f t="shared" si="20"/>
        <v>23.312780895792923</v>
      </c>
      <c r="AO51" s="8">
        <f t="shared" si="21"/>
        <v>9.8067209357711711</v>
      </c>
      <c r="AP51" s="8">
        <f t="shared" si="22"/>
        <v>3.2689069785903904</v>
      </c>
      <c r="AQ51" s="8">
        <f t="shared" si="23"/>
        <v>40.986117105067926</v>
      </c>
      <c r="AR51" s="31">
        <f t="shared" si="24"/>
        <v>41.418042484755901</v>
      </c>
      <c r="AS51" s="8">
        <f t="shared" si="0"/>
        <v>20.090000000000146</v>
      </c>
      <c r="AT51" s="8">
        <f t="shared" si="1"/>
        <v>10.059999999999491</v>
      </c>
      <c r="AU51" s="8">
        <f t="shared" si="25"/>
        <v>102.49415958982397</v>
      </c>
      <c r="AV51" s="15">
        <f t="shared" si="26"/>
        <v>92.464159589823311</v>
      </c>
    </row>
    <row r="52" spans="1:48" x14ac:dyDescent="0.25">
      <c r="A52" t="s">
        <v>64</v>
      </c>
      <c r="B52" s="37">
        <v>1.2</v>
      </c>
      <c r="E52" t="s">
        <v>64</v>
      </c>
      <c r="F52" s="37">
        <v>1.2</v>
      </c>
      <c r="I52" t="s">
        <v>64</v>
      </c>
      <c r="J52" s="37">
        <v>1.2</v>
      </c>
      <c r="M52" t="s">
        <v>64</v>
      </c>
      <c r="N52" s="37">
        <v>1.2</v>
      </c>
      <c r="Q52" t="s">
        <v>64</v>
      </c>
      <c r="R52" s="37">
        <v>1.2</v>
      </c>
      <c r="U52" s="4">
        <v>21000</v>
      </c>
      <c r="V52" s="7">
        <f t="shared" si="27"/>
        <v>46.830000000000005</v>
      </c>
      <c r="W52" s="7">
        <f t="shared" si="3"/>
        <v>2.1816615649929121</v>
      </c>
      <c r="X52" s="7">
        <f t="shared" si="4"/>
        <v>2.1816615649929121</v>
      </c>
      <c r="Y52" s="7">
        <f t="shared" si="5"/>
        <v>3.3545228223331018</v>
      </c>
      <c r="Z52" s="7">
        <f t="shared" si="6"/>
        <v>2.1816615649929121</v>
      </c>
      <c r="AA52" s="7">
        <f t="shared" si="7"/>
        <v>2.1816615649929121</v>
      </c>
      <c r="AB52" s="8">
        <f t="shared" si="28"/>
        <v>21.465290836781161</v>
      </c>
      <c r="AC52" s="8">
        <f t="shared" si="9"/>
        <v>21.465290836781161</v>
      </c>
      <c r="AD52" s="8">
        <f t="shared" si="10"/>
        <v>13.960256787708872</v>
      </c>
      <c r="AE52" s="8">
        <f t="shared" si="11"/>
        <v>21.465290836781161</v>
      </c>
      <c r="AF52" s="8">
        <f t="shared" si="12"/>
        <v>21.465290836781161</v>
      </c>
      <c r="AG52" s="8">
        <f t="shared" si="13"/>
        <v>0.35773191825124323</v>
      </c>
      <c r="AH52" s="8">
        <f t="shared" si="14"/>
        <v>25.899790881390008</v>
      </c>
      <c r="AI52" s="8">
        <f t="shared" si="15"/>
        <v>2.2999295788799134</v>
      </c>
      <c r="AJ52" s="8">
        <f t="shared" si="16"/>
        <v>2.1463915095074588</v>
      </c>
      <c r="AK52" s="8">
        <f t="shared" si="17"/>
        <v>12.305977987842766</v>
      </c>
      <c r="AL52" s="8">
        <f t="shared" si="18"/>
        <v>0.81561659932120034</v>
      </c>
      <c r="AM52" s="8">
        <f t="shared" si="19"/>
        <v>4.4433136098077846</v>
      </c>
      <c r="AN52" s="8">
        <f t="shared" si="20"/>
        <v>24.375589882578453</v>
      </c>
      <c r="AO52" s="8">
        <f t="shared" si="21"/>
        <v>10.253800638017966</v>
      </c>
      <c r="AP52" s="8">
        <f t="shared" si="22"/>
        <v>3.4179335460059885</v>
      </c>
      <c r="AQ52" s="8">
        <f t="shared" si="23"/>
        <v>43.009821875871388</v>
      </c>
      <c r="AR52" s="31">
        <f t="shared" si="24"/>
        <v>43.306254275731391</v>
      </c>
      <c r="AS52" s="8">
        <f t="shared" si="0"/>
        <v>20.090000000000146</v>
      </c>
      <c r="AT52" s="8">
        <f t="shared" si="1"/>
        <v>10.059999999999491</v>
      </c>
      <c r="AU52" s="8">
        <f t="shared" si="25"/>
        <v>106.40607615160292</v>
      </c>
      <c r="AV52" s="15">
        <f t="shared" si="26"/>
        <v>96.376076151602263</v>
      </c>
    </row>
    <row r="53" spans="1:48" x14ac:dyDescent="0.25">
      <c r="A53" t="s">
        <v>65</v>
      </c>
      <c r="B53" s="37">
        <v>1.2</v>
      </c>
      <c r="C53">
        <v>0</v>
      </c>
      <c r="E53" t="s">
        <v>65</v>
      </c>
      <c r="F53" s="37">
        <v>1.2</v>
      </c>
      <c r="G53">
        <v>1</v>
      </c>
      <c r="I53" t="s">
        <v>65</v>
      </c>
      <c r="J53" s="37">
        <v>1.2</v>
      </c>
      <c r="M53" t="s">
        <v>65</v>
      </c>
      <c r="N53" s="37">
        <v>1.2</v>
      </c>
      <c r="Q53" t="s">
        <v>65</v>
      </c>
      <c r="R53" s="37">
        <v>1.2</v>
      </c>
      <c r="U53" s="4">
        <v>21500</v>
      </c>
      <c r="V53" s="7">
        <f t="shared" si="27"/>
        <v>47.945000000000007</v>
      </c>
      <c r="W53" s="7">
        <f t="shared" si="3"/>
        <v>2.1816615649929121</v>
      </c>
      <c r="X53" s="7">
        <f t="shared" si="4"/>
        <v>2.1816615649929121</v>
      </c>
      <c r="Y53" s="7">
        <f t="shared" si="5"/>
        <v>3.3545228223331018</v>
      </c>
      <c r="Z53" s="7">
        <f t="shared" si="6"/>
        <v>2.1816615649929121</v>
      </c>
      <c r="AA53" s="7">
        <f t="shared" si="7"/>
        <v>2.1816615649929121</v>
      </c>
      <c r="AB53" s="8">
        <f t="shared" si="28"/>
        <v>21.976369190037857</v>
      </c>
      <c r="AC53" s="8">
        <f t="shared" si="9"/>
        <v>21.976369190037857</v>
      </c>
      <c r="AD53" s="8">
        <f t="shared" si="10"/>
        <v>14.292643854082893</v>
      </c>
      <c r="AE53" s="8">
        <f t="shared" si="11"/>
        <v>21.976369190037857</v>
      </c>
      <c r="AF53" s="8">
        <f t="shared" si="12"/>
        <v>21.976369190037857</v>
      </c>
      <c r="AG53" s="8">
        <f t="shared" si="13"/>
        <v>0.37496956737332704</v>
      </c>
      <c r="AH53" s="8">
        <f t="shared" si="14"/>
        <v>27.147796677828875</v>
      </c>
      <c r="AI53" s="8">
        <f t="shared" si="15"/>
        <v>2.4107538499710661</v>
      </c>
      <c r="AJ53" s="8">
        <f t="shared" si="16"/>
        <v>2.2498174042399617</v>
      </c>
      <c r="AK53" s="8">
        <f t="shared" si="17"/>
        <v>12.898953117642447</v>
      </c>
      <c r="AL53" s="8">
        <f t="shared" si="18"/>
        <v>0.85190567532155348</v>
      </c>
      <c r="AM53" s="8">
        <f t="shared" si="19"/>
        <v>4.6410091268116238</v>
      </c>
      <c r="AN53" s="8">
        <f t="shared" si="20"/>
        <v>25.460128420095359</v>
      </c>
      <c r="AO53" s="8">
        <f t="shared" si="21"/>
        <v>10.710021061872979</v>
      </c>
      <c r="AP53" s="8">
        <f t="shared" si="22"/>
        <v>3.5700070206243262</v>
      </c>
      <c r="AQ53" s="8">
        <f t="shared" si="23"/>
        <v>45.082290617055676</v>
      </c>
      <c r="AR53" s="31">
        <f t="shared" si="24"/>
        <v>45.23307130472584</v>
      </c>
      <c r="AS53" s="8">
        <f t="shared" si="0"/>
        <v>20.090000000000146</v>
      </c>
      <c r="AT53" s="8">
        <f t="shared" si="1"/>
        <v>10.059999999999491</v>
      </c>
      <c r="AU53" s="8">
        <f t="shared" si="25"/>
        <v>110.40536192178166</v>
      </c>
      <c r="AV53" s="15">
        <f t="shared" si="26"/>
        <v>100.37536192178101</v>
      </c>
    </row>
    <row r="54" spans="1:48" x14ac:dyDescent="0.25">
      <c r="A54" t="s">
        <v>66</v>
      </c>
      <c r="B54" s="37">
        <v>0.1</v>
      </c>
      <c r="E54" t="s">
        <v>66</v>
      </c>
      <c r="F54" s="37">
        <v>0.1</v>
      </c>
      <c r="I54" t="s">
        <v>66</v>
      </c>
      <c r="J54" s="37">
        <v>0.1</v>
      </c>
      <c r="M54" t="s">
        <v>66</v>
      </c>
      <c r="N54" s="37">
        <v>0.1</v>
      </c>
      <c r="Q54" t="s">
        <v>66</v>
      </c>
      <c r="R54" s="37">
        <v>0.1</v>
      </c>
      <c r="U54" s="4">
        <v>22000</v>
      </c>
      <c r="V54" s="7">
        <f t="shared" si="27"/>
        <v>49.06</v>
      </c>
      <c r="W54" s="7">
        <f t="shared" si="3"/>
        <v>2.1816615649929121</v>
      </c>
      <c r="X54" s="7">
        <f t="shared" si="4"/>
        <v>2.1816615649929121</v>
      </c>
      <c r="Y54" s="7">
        <f t="shared" si="5"/>
        <v>3.3545228223331018</v>
      </c>
      <c r="Z54" s="7">
        <f t="shared" si="6"/>
        <v>2.1816615649929121</v>
      </c>
      <c r="AA54" s="7">
        <f t="shared" si="7"/>
        <v>2.1816615649929121</v>
      </c>
      <c r="AB54" s="8">
        <f t="shared" si="28"/>
        <v>22.48744754329455</v>
      </c>
      <c r="AC54" s="8">
        <f t="shared" si="9"/>
        <v>22.48744754329455</v>
      </c>
      <c r="AD54" s="8">
        <f t="shared" si="10"/>
        <v>14.625030920456911</v>
      </c>
      <c r="AE54" s="8">
        <f t="shared" si="11"/>
        <v>22.48744754329455</v>
      </c>
      <c r="AF54" s="8">
        <f t="shared" si="12"/>
        <v>22.48744754329455</v>
      </c>
      <c r="AG54" s="8">
        <f t="shared" si="13"/>
        <v>0.39261280823945971</v>
      </c>
      <c r="AH54" s="8">
        <f t="shared" si="14"/>
        <v>28.425167316536879</v>
      </c>
      <c r="AI54" s="8">
        <f t="shared" si="15"/>
        <v>2.5241857509702448</v>
      </c>
      <c r="AJ54" s="8">
        <f t="shared" si="16"/>
        <v>2.3556768494367577</v>
      </c>
      <c r="AK54" s="8">
        <f t="shared" si="17"/>
        <v>13.505880603437411</v>
      </c>
      <c r="AL54" s="8">
        <f t="shared" si="18"/>
        <v>0.88891926840712332</v>
      </c>
      <c r="AM54" s="8">
        <f t="shared" si="19"/>
        <v>4.842651665771565</v>
      </c>
      <c r="AN54" s="8">
        <f t="shared" si="20"/>
        <v>26.566319939352589</v>
      </c>
      <c r="AO54" s="8">
        <f t="shared" si="21"/>
        <v>11.175349997934383</v>
      </c>
      <c r="AP54" s="8">
        <f t="shared" si="22"/>
        <v>3.7251166659781272</v>
      </c>
      <c r="AQ54" s="8">
        <f t="shared" si="23"/>
        <v>47.203523328620747</v>
      </c>
      <c r="AR54" s="31">
        <f t="shared" si="24"/>
        <v>47.19835753744379</v>
      </c>
      <c r="AS54" s="8">
        <f t="shared" si="0"/>
        <v>20.090000000000146</v>
      </c>
      <c r="AT54" s="8">
        <f t="shared" si="1"/>
        <v>10.059999999999491</v>
      </c>
      <c r="AU54" s="8">
        <f t="shared" si="25"/>
        <v>114.49188086606469</v>
      </c>
      <c r="AV54" s="15">
        <f t="shared" si="26"/>
        <v>104.46188086606404</v>
      </c>
    </row>
    <row r="55" spans="1:48" x14ac:dyDescent="0.25">
      <c r="A55" t="s">
        <v>67</v>
      </c>
      <c r="B55" s="37">
        <v>0.04</v>
      </c>
      <c r="E55" t="s">
        <v>67</v>
      </c>
      <c r="F55" s="37">
        <v>0.04</v>
      </c>
      <c r="I55" t="s">
        <v>67</v>
      </c>
      <c r="J55" s="37">
        <v>0.04</v>
      </c>
      <c r="M55" t="s">
        <v>67</v>
      </c>
      <c r="N55" s="37">
        <v>0.04</v>
      </c>
      <c r="Q55" t="s">
        <v>67</v>
      </c>
      <c r="R55" s="37">
        <v>0.04</v>
      </c>
    </row>
    <row r="56" spans="1:48" x14ac:dyDescent="0.25">
      <c r="A56" t="s">
        <v>68</v>
      </c>
      <c r="B56" s="6">
        <f>SUMPRODUCT(B29:B55,C29:C55)</f>
        <v>0.05</v>
      </c>
      <c r="E56" t="s">
        <v>68</v>
      </c>
      <c r="F56" s="6">
        <f>SUMPRODUCT(F29:F55,G29:G55)</f>
        <v>3.62</v>
      </c>
      <c r="I56" t="s">
        <v>68</v>
      </c>
      <c r="J56" s="6">
        <f>SUMPRODUCT(J29:J55,K29:K55)</f>
        <v>0.76</v>
      </c>
      <c r="M56" t="s">
        <v>68</v>
      </c>
      <c r="N56" s="40">
        <f>SUMPRODUCT(N29:N55,O29:O55)</f>
        <v>0.3</v>
      </c>
      <c r="Q56" t="s">
        <v>68</v>
      </c>
      <c r="R56" s="40">
        <f>SUMPRODUCT(R29:R55,S29:S55)</f>
        <v>1.72</v>
      </c>
    </row>
    <row r="59" spans="1:48" x14ac:dyDescent="0.25">
      <c r="D59" s="20"/>
      <c r="E59" s="20"/>
      <c r="F59" s="20"/>
      <c r="G59" s="20"/>
    </row>
    <row r="60" spans="1:48" x14ac:dyDescent="0.25">
      <c r="D60" s="20"/>
      <c r="E60" s="20"/>
      <c r="F60" s="20"/>
      <c r="G60" s="20"/>
    </row>
  </sheetData>
  <sheetProtection algorithmName="SHA-512" hashValue="u5IRHWULEq5XCBki1xXmiF9uegN0sDATqllSVMccrD/jTZJBGz0EpFGkyG9sElX3P7dkdtmSN/xegOwAODfP0g==" saltValue="baHQZX0A1BxdLtK2hAiFxQ==" spinCount="100000" sheet="1" objects="1" scenarios="1" selectLockedCells="1" selectUnlockedCells="1"/>
  <customSheetViews>
    <customSheetView guid="{DD12DCA6-AC95-44E9-85FD-88104CF4D155}" scale="60" showPageBreaks="1" view="pageBreakPreview" topLeftCell="J4">
      <selection activeCell="H5" sqref="H5:J5"/>
      <pageMargins left="0.7" right="0.7" top="0.75" bottom="0.75" header="0.3" footer="0.3"/>
      <pageSetup scale="14" orientation="portrait" r:id="rId1"/>
    </customSheetView>
  </customSheetViews>
  <pageMargins left="0.7" right="0.7" top="0.75" bottom="0.75" header="0.3" footer="0.3"/>
  <pageSetup scale="14" orientation="portrait" r:id="rId2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55"/>
  <sheetViews>
    <sheetView view="pageBreakPreview" zoomScale="60" zoomScaleNormal="100" workbookViewId="0">
      <selection activeCell="B33" sqref="B33"/>
    </sheetView>
  </sheetViews>
  <sheetFormatPr defaultRowHeight="15" x14ac:dyDescent="0.25"/>
  <cols>
    <col min="1" max="1" width="24.140625" bestFit="1" customWidth="1"/>
    <col min="2" max="2" width="12.5703125" bestFit="1" customWidth="1"/>
    <col min="4" max="4" width="31.42578125" customWidth="1"/>
    <col min="5" max="5" width="19.85546875" bestFit="1" customWidth="1"/>
    <col min="6" max="6" width="21" customWidth="1"/>
    <col min="7" max="7" width="15.140625" bestFit="1" customWidth="1"/>
    <col min="8" max="8" width="16.5703125" bestFit="1" customWidth="1"/>
    <col min="10" max="10" width="12.5703125" bestFit="1" customWidth="1"/>
    <col min="11" max="11" width="10.140625" bestFit="1" customWidth="1"/>
  </cols>
  <sheetData>
    <row r="2" spans="1:19" x14ac:dyDescent="0.25">
      <c r="A2" t="s">
        <v>88</v>
      </c>
      <c r="B2">
        <v>6.4</v>
      </c>
    </row>
    <row r="3" spans="1:19" x14ac:dyDescent="0.25">
      <c r="A3" t="s">
        <v>217</v>
      </c>
      <c r="B3">
        <v>7</v>
      </c>
    </row>
    <row r="4" spans="1:19" ht="15.75" thickBot="1" x14ac:dyDescent="0.3">
      <c r="A4" t="s">
        <v>89</v>
      </c>
      <c r="B4">
        <v>10</v>
      </c>
      <c r="O4" s="49" t="s">
        <v>18</v>
      </c>
      <c r="P4" s="49" t="s">
        <v>18</v>
      </c>
      <c r="Q4" s="49" t="s">
        <v>145</v>
      </c>
      <c r="R4" s="50" t="s">
        <v>139</v>
      </c>
    </row>
    <row r="5" spans="1:19" ht="17.25" thickBot="1" x14ac:dyDescent="0.35">
      <c r="A5" t="s">
        <v>144</v>
      </c>
      <c r="B5">
        <v>10.17</v>
      </c>
      <c r="F5" s="102" t="s">
        <v>198</v>
      </c>
      <c r="G5" s="103"/>
      <c r="H5" s="103"/>
      <c r="I5" s="104"/>
      <c r="J5" s="81"/>
      <c r="K5" s="81"/>
      <c r="M5" t="s">
        <v>126</v>
      </c>
      <c r="O5" s="49" t="s">
        <v>146</v>
      </c>
      <c r="P5" s="49" t="s">
        <v>8</v>
      </c>
      <c r="Q5" s="49" t="s">
        <v>147</v>
      </c>
      <c r="R5" s="50" t="s">
        <v>148</v>
      </c>
    </row>
    <row r="6" spans="1:19" x14ac:dyDescent="0.25">
      <c r="F6" s="80"/>
      <c r="G6" s="83"/>
      <c r="H6" s="84"/>
      <c r="I6" s="80"/>
      <c r="J6" s="80"/>
      <c r="K6" s="85"/>
      <c r="M6" t="s">
        <v>120</v>
      </c>
      <c r="O6">
        <v>0</v>
      </c>
      <c r="Q6">
        <v>0</v>
      </c>
      <c r="R6">
        <v>0</v>
      </c>
    </row>
    <row r="7" spans="1:19" ht="15.75" thickBot="1" x14ac:dyDescent="0.3">
      <c r="A7" s="1" t="s">
        <v>5</v>
      </c>
      <c r="F7" s="86" t="s">
        <v>199</v>
      </c>
      <c r="G7" s="87">
        <v>5191.32</v>
      </c>
      <c r="H7" s="88"/>
      <c r="I7" s="89"/>
      <c r="J7" s="80"/>
      <c r="K7" s="85"/>
      <c r="M7" t="s">
        <v>121</v>
      </c>
      <c r="O7">
        <v>3</v>
      </c>
      <c r="P7">
        <v>1800</v>
      </c>
      <c r="Q7">
        <v>1</v>
      </c>
      <c r="R7">
        <v>1800</v>
      </c>
      <c r="S7">
        <f>R7/7.48</f>
        <v>240.64171122994651</v>
      </c>
    </row>
    <row r="8" spans="1:19" ht="15.75" thickBot="1" x14ac:dyDescent="0.3">
      <c r="A8" t="s">
        <v>1</v>
      </c>
      <c r="B8" s="2">
        <v>25</v>
      </c>
      <c r="F8" s="86" t="s">
        <v>200</v>
      </c>
      <c r="G8" s="90">
        <v>5191</v>
      </c>
      <c r="H8" s="88"/>
      <c r="I8" s="89"/>
      <c r="J8" s="80"/>
      <c r="K8" s="80"/>
      <c r="M8" t="s">
        <v>122</v>
      </c>
      <c r="O8">
        <v>9</v>
      </c>
      <c r="P8">
        <v>5400</v>
      </c>
      <c r="Q8">
        <v>1</v>
      </c>
      <c r="R8">
        <v>5400</v>
      </c>
      <c r="S8">
        <f>R8/7.48</f>
        <v>721.92513368983953</v>
      </c>
    </row>
    <row r="9" spans="1:19" x14ac:dyDescent="0.25">
      <c r="A9" t="s">
        <v>2</v>
      </c>
      <c r="B9" s="2">
        <f>19+5/12</f>
        <v>19.416666666666668</v>
      </c>
      <c r="F9" s="80"/>
      <c r="G9" s="80"/>
      <c r="H9" s="91"/>
      <c r="I9" s="89"/>
      <c r="J9" s="80"/>
      <c r="K9" s="80"/>
      <c r="M9" t="s">
        <v>123</v>
      </c>
      <c r="O9">
        <v>18</v>
      </c>
      <c r="P9">
        <v>10800</v>
      </c>
      <c r="Q9">
        <v>10</v>
      </c>
      <c r="R9">
        <v>108000</v>
      </c>
      <c r="S9">
        <f t="shared" ref="S9:S12" si="0">R9/7.48</f>
        <v>14438.502673796791</v>
      </c>
    </row>
    <row r="10" spans="1:19" x14ac:dyDescent="0.25">
      <c r="A10" t="s">
        <v>90</v>
      </c>
      <c r="B10" s="2">
        <f>B8*B9*B2</f>
        <v>3106.666666666667</v>
      </c>
      <c r="F10" s="82"/>
      <c r="G10" s="92"/>
      <c r="H10" s="88"/>
      <c r="I10" s="89"/>
      <c r="J10" s="80"/>
      <c r="K10" s="80"/>
      <c r="M10" t="s">
        <v>124</v>
      </c>
      <c r="O10">
        <v>9</v>
      </c>
      <c r="P10">
        <v>5400</v>
      </c>
      <c r="Q10">
        <v>1.5</v>
      </c>
      <c r="R10">
        <v>8100</v>
      </c>
      <c r="S10">
        <f t="shared" si="0"/>
        <v>1082.8877005347592</v>
      </c>
    </row>
    <row r="11" spans="1:19" x14ac:dyDescent="0.25">
      <c r="A11" t="s">
        <v>219</v>
      </c>
      <c r="B11" s="2">
        <f>B8*B9*B3</f>
        <v>3397.916666666667</v>
      </c>
      <c r="F11" s="82"/>
      <c r="G11" s="92"/>
      <c r="H11" s="88"/>
      <c r="I11" s="89"/>
      <c r="J11" s="80"/>
      <c r="K11" s="80"/>
    </row>
    <row r="12" spans="1:19" ht="15.75" thickBot="1" x14ac:dyDescent="0.3">
      <c r="A12" t="s">
        <v>91</v>
      </c>
      <c r="B12" s="2">
        <f>B8*B9*B4</f>
        <v>4854.166666666667</v>
      </c>
      <c r="H12" s="88"/>
      <c r="I12" s="93"/>
      <c r="J12" s="86" t="s">
        <v>207</v>
      </c>
      <c r="K12" s="94">
        <v>10.18</v>
      </c>
      <c r="M12" t="s">
        <v>124</v>
      </c>
      <c r="O12">
        <v>3</v>
      </c>
      <c r="P12">
        <v>1800</v>
      </c>
      <c r="Q12">
        <v>1.5</v>
      </c>
      <c r="R12">
        <v>2700</v>
      </c>
      <c r="S12">
        <f t="shared" si="0"/>
        <v>360.96256684491976</v>
      </c>
    </row>
    <row r="13" spans="1:19" ht="15.75" thickBot="1" x14ac:dyDescent="0.3">
      <c r="A13" t="s">
        <v>149</v>
      </c>
      <c r="B13" s="2">
        <f>B8*B9*B5</f>
        <v>4936.6875</v>
      </c>
      <c r="E13" s="80"/>
      <c r="F13" s="80"/>
      <c r="G13" s="80"/>
      <c r="H13" s="88"/>
      <c r="I13" s="93"/>
      <c r="J13" s="86" t="s">
        <v>201</v>
      </c>
      <c r="K13" s="94">
        <v>10</v>
      </c>
      <c r="M13" t="s">
        <v>125</v>
      </c>
      <c r="Q13">
        <v>15</v>
      </c>
      <c r="R13">
        <v>126000</v>
      </c>
    </row>
    <row r="14" spans="1:19" ht="15.75" thickBot="1" x14ac:dyDescent="0.3">
      <c r="A14" t="s">
        <v>92</v>
      </c>
      <c r="B14" s="2">
        <f>B10*7.48</f>
        <v>23237.866666666669</v>
      </c>
      <c r="E14" s="82"/>
      <c r="F14" s="80"/>
      <c r="G14" s="80"/>
      <c r="H14" s="88"/>
      <c r="I14" s="93"/>
      <c r="J14" s="86" t="s">
        <v>202</v>
      </c>
      <c r="K14" s="94">
        <v>8.4</v>
      </c>
    </row>
    <row r="15" spans="1:19" ht="15.75" thickBot="1" x14ac:dyDescent="0.3">
      <c r="A15" t="s">
        <v>220</v>
      </c>
      <c r="B15" s="2">
        <f>B11*7.48</f>
        <v>25416.416666666672</v>
      </c>
      <c r="E15" s="82"/>
      <c r="F15" s="80"/>
      <c r="G15" s="80"/>
      <c r="H15" s="88"/>
      <c r="I15" s="93"/>
      <c r="J15" s="86" t="s">
        <v>203</v>
      </c>
      <c r="K15" s="94">
        <v>7.4</v>
      </c>
    </row>
    <row r="16" spans="1:19" ht="15.75" thickBot="1" x14ac:dyDescent="0.3">
      <c r="A16" t="s">
        <v>93</v>
      </c>
      <c r="B16" s="2">
        <f>B12*7.48</f>
        <v>36309.166666666672</v>
      </c>
      <c r="E16" s="82"/>
      <c r="F16" s="80"/>
      <c r="G16" s="80"/>
      <c r="H16" s="88"/>
      <c r="I16" s="93"/>
      <c r="J16" s="86" t="s">
        <v>204</v>
      </c>
      <c r="K16" s="94">
        <v>6.4</v>
      </c>
    </row>
    <row r="17" spans="1:17" ht="15.75" thickBot="1" x14ac:dyDescent="0.3">
      <c r="A17" t="s">
        <v>150</v>
      </c>
      <c r="B17" s="2">
        <f>B13*7.48</f>
        <v>36926.422500000001</v>
      </c>
      <c r="E17" s="82"/>
      <c r="F17" s="86" t="s">
        <v>206</v>
      </c>
      <c r="G17" s="90">
        <v>5174.83</v>
      </c>
      <c r="H17" s="88"/>
      <c r="I17" s="89"/>
      <c r="J17" s="80"/>
      <c r="K17" s="94"/>
      <c r="M17" t="s">
        <v>131</v>
      </c>
    </row>
    <row r="18" spans="1:17" x14ac:dyDescent="0.25">
      <c r="A18" s="1" t="s">
        <v>4</v>
      </c>
      <c r="E18" s="82"/>
      <c r="F18" s="80"/>
      <c r="G18" s="80"/>
      <c r="H18" s="88"/>
      <c r="I18" s="89"/>
      <c r="J18" s="80"/>
      <c r="K18" s="94"/>
      <c r="M18" s="46" t="s">
        <v>127</v>
      </c>
      <c r="N18" s="46"/>
      <c r="O18" s="46"/>
      <c r="P18" s="46">
        <v>150</v>
      </c>
      <c r="Q18" t="s">
        <v>8</v>
      </c>
    </row>
    <row r="19" spans="1:17" ht="15.75" thickBot="1" x14ac:dyDescent="0.3">
      <c r="A19" t="s">
        <v>1</v>
      </c>
      <c r="B19" s="2">
        <v>25</v>
      </c>
      <c r="E19" s="82"/>
      <c r="F19" s="95" t="s">
        <v>205</v>
      </c>
      <c r="G19" s="96">
        <v>5169.82</v>
      </c>
      <c r="H19" s="97"/>
      <c r="I19" s="98"/>
      <c r="J19" s="99" t="s">
        <v>208</v>
      </c>
      <c r="K19" s="100">
        <v>0</v>
      </c>
      <c r="M19" s="46" t="s">
        <v>128</v>
      </c>
      <c r="N19" s="46"/>
      <c r="O19" s="46"/>
      <c r="P19" s="46">
        <v>0.5</v>
      </c>
      <c r="Q19" t="s">
        <v>135</v>
      </c>
    </row>
    <row r="20" spans="1:17" x14ac:dyDescent="0.25">
      <c r="A20" t="s">
        <v>2</v>
      </c>
      <c r="B20" s="2">
        <f>15+5/12</f>
        <v>15.416666666666666</v>
      </c>
      <c r="E20" s="82"/>
      <c r="M20" s="46" t="s">
        <v>129</v>
      </c>
      <c r="N20" s="46"/>
      <c r="O20" s="46"/>
      <c r="P20" s="47">
        <v>80</v>
      </c>
      <c r="Q20" t="s">
        <v>17</v>
      </c>
    </row>
    <row r="21" spans="1:17" x14ac:dyDescent="0.25">
      <c r="A21" t="s">
        <v>3</v>
      </c>
      <c r="B21" s="2">
        <f>77.69-66.5</f>
        <v>11.189999999999998</v>
      </c>
      <c r="E21" s="82"/>
      <c r="M21" s="46" t="s">
        <v>130</v>
      </c>
      <c r="N21" s="46"/>
      <c r="O21" s="46"/>
      <c r="P21" s="48">
        <f>P20/P19</f>
        <v>160</v>
      </c>
      <c r="Q21" t="s">
        <v>134</v>
      </c>
    </row>
    <row r="22" spans="1:17" x14ac:dyDescent="0.25">
      <c r="A22" t="s">
        <v>90</v>
      </c>
      <c r="B22" s="2">
        <f>B19*B20*B2</f>
        <v>2466.6666666666665</v>
      </c>
      <c r="E22" s="82"/>
      <c r="F22" t="s">
        <v>211</v>
      </c>
      <c r="G22">
        <f>B8*B9+B19*B20</f>
        <v>870.83333333333326</v>
      </c>
      <c r="H22" t="s">
        <v>212</v>
      </c>
      <c r="M22" s="46" t="s">
        <v>132</v>
      </c>
      <c r="N22" s="20"/>
      <c r="O22" s="20"/>
      <c r="P22" s="20">
        <f>P18*P21</f>
        <v>24000</v>
      </c>
      <c r="Q22" t="s">
        <v>133</v>
      </c>
    </row>
    <row r="23" spans="1:17" x14ac:dyDescent="0.25">
      <c r="A23" t="s">
        <v>219</v>
      </c>
      <c r="B23" s="2">
        <f>B19*B20*B3</f>
        <v>2697.9166666666665</v>
      </c>
      <c r="E23" s="82"/>
      <c r="F23" t="s">
        <v>209</v>
      </c>
      <c r="G23" t="s">
        <v>213</v>
      </c>
      <c r="H23" t="s">
        <v>214</v>
      </c>
      <c r="I23" t="s">
        <v>215</v>
      </c>
    </row>
    <row r="24" spans="1:17" x14ac:dyDescent="0.25">
      <c r="A24" t="s">
        <v>91</v>
      </c>
      <c r="B24" s="2">
        <f>B19*B20*B4</f>
        <v>3854.1666666666661</v>
      </c>
      <c r="E24" s="82"/>
      <c r="F24">
        <v>1</v>
      </c>
      <c r="G24">
        <f>S7</f>
        <v>240.64171122994651</v>
      </c>
      <c r="H24">
        <v>0</v>
      </c>
      <c r="I24">
        <f>K16+G24/G22</f>
        <v>6.6763349794028102</v>
      </c>
    </row>
    <row r="25" spans="1:17" x14ac:dyDescent="0.25">
      <c r="A25" t="s">
        <v>149</v>
      </c>
      <c r="B25" s="2">
        <f>B19*B20*B5</f>
        <v>3919.6874999999995</v>
      </c>
      <c r="E25" s="82"/>
      <c r="F25">
        <f>G25/S8+F24</f>
        <v>1.8729320987654317</v>
      </c>
      <c r="G25">
        <f>(I25-I24)*G22</f>
        <v>630.19162210338641</v>
      </c>
      <c r="H25">
        <v>0</v>
      </c>
      <c r="I25" s="13">
        <f>K15</f>
        <v>7.4</v>
      </c>
      <c r="J25" t="s">
        <v>216</v>
      </c>
    </row>
    <row r="26" spans="1:17" x14ac:dyDescent="0.25">
      <c r="A26" t="s">
        <v>92</v>
      </c>
      <c r="B26" s="2">
        <f>B22*7.48</f>
        <v>18450.666666666668</v>
      </c>
      <c r="E26" s="82"/>
      <c r="F26">
        <v>2</v>
      </c>
      <c r="G26">
        <f>(F26-F25)*S8</f>
        <v>91.733511586453076</v>
      </c>
      <c r="H26">
        <f>(F26-F25)*1286</f>
        <v>163.40932098765489</v>
      </c>
      <c r="I26">
        <f t="shared" ref="I26:I41" si="1">(G26-H26)/$G$22+I25</f>
        <v>7.3176928504483811</v>
      </c>
      <c r="J26" t="s">
        <v>227</v>
      </c>
    </row>
    <row r="27" spans="1:17" x14ac:dyDescent="0.25">
      <c r="A27" t="s">
        <v>218</v>
      </c>
      <c r="B27" s="2">
        <f>B23*7.48</f>
        <v>20180.416666666668</v>
      </c>
      <c r="E27" s="82"/>
      <c r="F27">
        <v>3</v>
      </c>
      <c r="G27">
        <f t="shared" ref="G27:G36" si="2">$P$9/7.48</f>
        <v>1443.8502673796791</v>
      </c>
      <c r="H27">
        <v>1286</v>
      </c>
      <c r="I27">
        <f>(G27-H27)/$G$22+I26</f>
        <v>7.4989563153819843</v>
      </c>
      <c r="J27" t="s">
        <v>227</v>
      </c>
    </row>
    <row r="28" spans="1:17" x14ac:dyDescent="0.25">
      <c r="A28" t="s">
        <v>93</v>
      </c>
      <c r="B28" s="2">
        <f>B24*7.48</f>
        <v>28829.166666666664</v>
      </c>
      <c r="E28" s="82"/>
      <c r="F28">
        <v>4</v>
      </c>
      <c r="G28">
        <f t="shared" si="2"/>
        <v>1443.8502673796791</v>
      </c>
      <c r="H28">
        <v>1286</v>
      </c>
      <c r="I28">
        <f t="shared" si="1"/>
        <v>7.6802197803155874</v>
      </c>
      <c r="J28" t="s">
        <v>227</v>
      </c>
    </row>
    <row r="29" spans="1:17" x14ac:dyDescent="0.25">
      <c r="A29" t="s">
        <v>93</v>
      </c>
      <c r="B29" s="2">
        <f>B25*7.48</f>
        <v>29319.262499999997</v>
      </c>
      <c r="E29" s="82"/>
      <c r="F29">
        <v>5</v>
      </c>
      <c r="G29">
        <f t="shared" si="2"/>
        <v>1443.8502673796791</v>
      </c>
      <c r="H29">
        <v>1286</v>
      </c>
      <c r="I29">
        <f t="shared" si="1"/>
        <v>7.8614832452491905</v>
      </c>
      <c r="J29" t="s">
        <v>227</v>
      </c>
    </row>
    <row r="30" spans="1:17" x14ac:dyDescent="0.25">
      <c r="B30" s="2"/>
      <c r="F30">
        <v>6</v>
      </c>
      <c r="G30">
        <f t="shared" si="2"/>
        <v>1443.8502673796791</v>
      </c>
      <c r="H30">
        <v>1286</v>
      </c>
      <c r="I30">
        <f t="shared" si="1"/>
        <v>8.0427467101827936</v>
      </c>
      <c r="J30" t="s">
        <v>227</v>
      </c>
    </row>
    <row r="31" spans="1:17" x14ac:dyDescent="0.25">
      <c r="A31" s="1" t="s">
        <v>6</v>
      </c>
      <c r="F31">
        <v>7</v>
      </c>
      <c r="G31">
        <f t="shared" si="2"/>
        <v>1443.8502673796791</v>
      </c>
      <c r="H31">
        <v>1286</v>
      </c>
      <c r="I31">
        <f t="shared" si="1"/>
        <v>8.2240101751163959</v>
      </c>
      <c r="J31" t="s">
        <v>227</v>
      </c>
    </row>
    <row r="32" spans="1:17" x14ac:dyDescent="0.25">
      <c r="A32" t="s">
        <v>94</v>
      </c>
      <c r="B32" s="16">
        <f>B26+B14</f>
        <v>41688.53333333334</v>
      </c>
      <c r="F32">
        <v>8</v>
      </c>
      <c r="G32">
        <f t="shared" si="2"/>
        <v>1443.8502673796791</v>
      </c>
      <c r="H32">
        <v>1286</v>
      </c>
      <c r="I32">
        <f t="shared" si="1"/>
        <v>8.4052736400499981</v>
      </c>
      <c r="J32" t="s">
        <v>227</v>
      </c>
    </row>
    <row r="33" spans="1:12" x14ac:dyDescent="0.25">
      <c r="A33" t="s">
        <v>218</v>
      </c>
      <c r="B33" s="16">
        <f>B27+B15</f>
        <v>45596.833333333343</v>
      </c>
      <c r="F33">
        <v>9</v>
      </c>
      <c r="G33">
        <f t="shared" si="2"/>
        <v>1443.8502673796791</v>
      </c>
      <c r="H33">
        <v>1286</v>
      </c>
      <c r="I33">
        <f t="shared" si="1"/>
        <v>8.5865371049836003</v>
      </c>
      <c r="J33" t="s">
        <v>227</v>
      </c>
    </row>
    <row r="34" spans="1:12" x14ac:dyDescent="0.25">
      <c r="A34" t="s">
        <v>95</v>
      </c>
      <c r="B34" s="16">
        <f>B28+B16</f>
        <v>65138.333333333336</v>
      </c>
      <c r="F34">
        <v>10</v>
      </c>
      <c r="G34">
        <f t="shared" si="2"/>
        <v>1443.8502673796791</v>
      </c>
      <c r="H34">
        <v>1286</v>
      </c>
      <c r="I34">
        <f t="shared" si="1"/>
        <v>8.7678005699172026</v>
      </c>
      <c r="J34" t="s">
        <v>227</v>
      </c>
    </row>
    <row r="35" spans="1:12" x14ac:dyDescent="0.25">
      <c r="A35" t="s">
        <v>151</v>
      </c>
      <c r="B35" s="16">
        <f>B29+B17</f>
        <v>66245.684999999998</v>
      </c>
      <c r="F35">
        <v>11</v>
      </c>
      <c r="G35">
        <f t="shared" si="2"/>
        <v>1443.8502673796791</v>
      </c>
      <c r="H35">
        <v>1286</v>
      </c>
      <c r="I35">
        <f t="shared" si="1"/>
        <v>8.9490640348508048</v>
      </c>
      <c r="J35" t="s">
        <v>227</v>
      </c>
    </row>
    <row r="36" spans="1:12" x14ac:dyDescent="0.25">
      <c r="F36" s="37">
        <v>12</v>
      </c>
      <c r="G36" s="37">
        <f t="shared" si="2"/>
        <v>1443.8502673796791</v>
      </c>
      <c r="H36" s="37">
        <v>1286</v>
      </c>
      <c r="I36" s="37">
        <f t="shared" si="1"/>
        <v>9.1303274997844071</v>
      </c>
      <c r="J36" s="37" t="s">
        <v>227</v>
      </c>
      <c r="K36" s="37"/>
      <c r="L36" s="37"/>
    </row>
    <row r="37" spans="1:12" x14ac:dyDescent="0.25">
      <c r="A37" t="s">
        <v>136</v>
      </c>
      <c r="B37" s="44">
        <f>B34-B33</f>
        <v>19541.499999999993</v>
      </c>
      <c r="F37">
        <v>13</v>
      </c>
      <c r="G37">
        <f>P10/7.48</f>
        <v>721.92513368983953</v>
      </c>
      <c r="H37">
        <v>1286</v>
      </c>
      <c r="I37">
        <f t="shared" si="1"/>
        <v>8.4825860265095816</v>
      </c>
      <c r="J37" t="s">
        <v>227</v>
      </c>
    </row>
    <row r="38" spans="1:12" x14ac:dyDescent="0.25">
      <c r="F38">
        <v>13.5</v>
      </c>
      <c r="G38">
        <f>$P$10/7.48/2</f>
        <v>360.96256684491976</v>
      </c>
      <c r="H38">
        <f>H37/2</f>
        <v>643</v>
      </c>
      <c r="I38">
        <f t="shared" si="1"/>
        <v>8.1587152898721698</v>
      </c>
      <c r="J38" t="s">
        <v>227</v>
      </c>
    </row>
    <row r="39" spans="1:12" x14ac:dyDescent="0.25">
      <c r="F39">
        <v>14</v>
      </c>
      <c r="G39">
        <f>P12/7.48/2</f>
        <v>120.32085561497325</v>
      </c>
      <c r="H39">
        <f>H37/2</f>
        <v>643</v>
      </c>
      <c r="I39">
        <f t="shared" si="1"/>
        <v>7.5585095738319472</v>
      </c>
      <c r="J39" t="s">
        <v>227</v>
      </c>
    </row>
    <row r="40" spans="1:12" ht="30" x14ac:dyDescent="0.25">
      <c r="A40" t="s">
        <v>7</v>
      </c>
      <c r="B40">
        <f>18*600</f>
        <v>10800</v>
      </c>
      <c r="C40" t="s">
        <v>8</v>
      </c>
      <c r="D40" s="101" t="s">
        <v>143</v>
      </c>
      <c r="F40">
        <v>15</v>
      </c>
      <c r="G40">
        <f>P12/7.48</f>
        <v>240.64171122994651</v>
      </c>
      <c r="H40">
        <v>1270</v>
      </c>
      <c r="I40">
        <f t="shared" si="1"/>
        <v>6.3764713474931298</v>
      </c>
      <c r="J40" t="s">
        <v>227</v>
      </c>
    </row>
    <row r="41" spans="1:12" x14ac:dyDescent="0.25">
      <c r="A41" t="s">
        <v>9</v>
      </c>
      <c r="B41">
        <v>10625</v>
      </c>
      <c r="C41" t="s">
        <v>137</v>
      </c>
      <c r="D41" s="101" t="s">
        <v>138</v>
      </c>
      <c r="F41">
        <v>15.15</v>
      </c>
      <c r="G41">
        <v>0</v>
      </c>
      <c r="H41">
        <f>H40*0.15</f>
        <v>190.5</v>
      </c>
      <c r="I41">
        <f t="shared" si="1"/>
        <v>6.1577153666318853</v>
      </c>
    </row>
    <row r="43" spans="1:12" x14ac:dyDescent="0.25">
      <c r="A43" t="s">
        <v>10</v>
      </c>
      <c r="B43">
        <f>B40-B41</f>
        <v>175</v>
      </c>
      <c r="C43" t="s">
        <v>8</v>
      </c>
    </row>
    <row r="44" spans="1:12" x14ac:dyDescent="0.25">
      <c r="A44" t="s">
        <v>139</v>
      </c>
      <c r="B44">
        <f>B43*B53</f>
        <v>1750</v>
      </c>
      <c r="C44" t="s">
        <v>140</v>
      </c>
    </row>
    <row r="46" spans="1:12" x14ac:dyDescent="0.25">
      <c r="A46" t="s">
        <v>141</v>
      </c>
      <c r="B46" s="45">
        <f>(B35-B33)/B43+2</f>
        <v>119.99343809523802</v>
      </c>
      <c r="C46" t="s">
        <v>142</v>
      </c>
    </row>
    <row r="49" spans="1:3" x14ac:dyDescent="0.25">
      <c r="A49" t="s">
        <v>14</v>
      </c>
    </row>
    <row r="52" spans="1:3" x14ac:dyDescent="0.25">
      <c r="A52" t="s">
        <v>152</v>
      </c>
      <c r="B52" s="2">
        <f>B37/B43</f>
        <v>111.66571428571424</v>
      </c>
      <c r="C52" t="s">
        <v>11</v>
      </c>
    </row>
    <row r="53" spans="1:3" x14ac:dyDescent="0.25">
      <c r="A53" t="s">
        <v>12</v>
      </c>
      <c r="B53">
        <v>10</v>
      </c>
      <c r="C53" t="s">
        <v>13</v>
      </c>
    </row>
    <row r="55" spans="1:3" x14ac:dyDescent="0.25">
      <c r="A55" t="s">
        <v>210</v>
      </c>
    </row>
  </sheetData>
  <sheetProtection algorithmName="SHA-512" hashValue="RVNHHYUotb/L1q40aXpcmmL0KqacCn10dsW33dzZ5ouBNjlLSAkHyrPSfTPwNMvGbilCO+5GFNHny74T//Gd2w==" saltValue="Hjevy9oWAbHGjdNLHoLWXA==" spinCount="100000" sheet="1" objects="1" scenarios="1" selectLockedCells="1" selectUnlockedCells="1"/>
  <customSheetViews>
    <customSheetView guid="{DD12DCA6-AC95-44E9-85FD-88104CF4D155}" scale="60" showPageBreaks="1" view="pageBreakPreview">
      <selection activeCell="B33" sqref="B33"/>
      <pageMargins left="0.7" right="0.7" top="0.75" bottom="0.75" header="0.3" footer="0.3"/>
      <pageSetup scale="34" orientation="portrait" r:id="rId1"/>
    </customSheetView>
  </customSheetViews>
  <pageMargins left="0.7" right="0.7" top="0.75" bottom="0.75" header="0.3" footer="0.3"/>
  <pageSetup scale="34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BreakPreview" zoomScale="60" zoomScaleNormal="100" workbookViewId="0">
      <selection activeCell="H32" sqref="A1:H32"/>
    </sheetView>
  </sheetViews>
  <sheetFormatPr defaultColWidth="9.140625" defaultRowHeight="12.75" x14ac:dyDescent="0.2"/>
  <cols>
    <col min="1" max="1" width="17.42578125" style="51" customWidth="1"/>
    <col min="2" max="2" width="15.140625" style="51" bestFit="1" customWidth="1"/>
    <col min="3" max="3" width="9.140625" style="51"/>
    <col min="4" max="4" width="21.140625" style="51" customWidth="1"/>
    <col min="5" max="5" width="9.140625" style="51"/>
    <col min="6" max="6" width="26.42578125" style="51" customWidth="1"/>
    <col min="7" max="7" width="21.85546875" style="51" bestFit="1" customWidth="1"/>
    <col min="8" max="8" width="14.140625" style="51" customWidth="1"/>
    <col min="9" max="10" width="9.140625" style="51"/>
    <col min="11" max="11" width="21.85546875" style="51" bestFit="1" customWidth="1"/>
    <col min="12" max="16384" width="9.140625" style="51"/>
  </cols>
  <sheetData>
    <row r="1" spans="1:11" x14ac:dyDescent="0.2">
      <c r="A1" s="54" t="s">
        <v>177</v>
      </c>
    </row>
    <row r="2" spans="1:11" x14ac:dyDescent="0.2">
      <c r="B2" s="54"/>
      <c r="G2" s="54"/>
      <c r="K2" s="54"/>
    </row>
    <row r="3" spans="1:11" x14ac:dyDescent="0.2">
      <c r="A3" s="57" t="s">
        <v>176</v>
      </c>
      <c r="B3" s="54" t="s">
        <v>175</v>
      </c>
      <c r="F3" s="57" t="s">
        <v>176</v>
      </c>
      <c r="G3" s="54" t="s">
        <v>175</v>
      </c>
      <c r="J3" s="57"/>
      <c r="K3" s="54"/>
    </row>
    <row r="4" spans="1:11" ht="15.75" x14ac:dyDescent="0.2">
      <c r="A4" s="57" t="s">
        <v>168</v>
      </c>
      <c r="B4" s="54" t="s">
        <v>174</v>
      </c>
      <c r="F4" s="57" t="s">
        <v>168</v>
      </c>
      <c r="G4" s="54" t="s">
        <v>174</v>
      </c>
      <c r="J4" s="57"/>
      <c r="K4" s="54"/>
    </row>
    <row r="5" spans="1:11" x14ac:dyDescent="0.2">
      <c r="A5" s="57" t="s">
        <v>172</v>
      </c>
      <c r="B5" s="54" t="s">
        <v>173</v>
      </c>
      <c r="F5" s="57" t="s">
        <v>172</v>
      </c>
      <c r="G5" s="54" t="s">
        <v>173</v>
      </c>
      <c r="J5" s="57"/>
      <c r="K5" s="54"/>
    </row>
    <row r="6" spans="1:11" x14ac:dyDescent="0.2">
      <c r="A6" s="57" t="s">
        <v>172</v>
      </c>
      <c r="B6" s="61">
        <v>2.5832999999999999</v>
      </c>
      <c r="C6" s="54" t="s">
        <v>17</v>
      </c>
      <c r="F6" s="57" t="s">
        <v>172</v>
      </c>
      <c r="G6" s="62">
        <v>2.5832999999999999</v>
      </c>
      <c r="J6" s="57"/>
      <c r="K6" s="61"/>
    </row>
    <row r="7" spans="1:11" x14ac:dyDescent="0.2">
      <c r="A7" s="57" t="s">
        <v>170</v>
      </c>
      <c r="B7" s="61">
        <v>13.1</v>
      </c>
      <c r="C7" s="54" t="s">
        <v>171</v>
      </c>
      <c r="D7" s="53"/>
      <c r="F7" s="57" t="s">
        <v>170</v>
      </c>
      <c r="G7" s="61">
        <v>2.6</v>
      </c>
      <c r="H7" s="53"/>
      <c r="J7" s="57"/>
      <c r="K7" s="61"/>
    </row>
    <row r="8" spans="1:11" x14ac:dyDescent="0.2">
      <c r="A8" s="57" t="s">
        <v>170</v>
      </c>
      <c r="B8" s="59">
        <v>10800</v>
      </c>
      <c r="C8" s="54" t="s">
        <v>8</v>
      </c>
      <c r="F8" s="57" t="s">
        <v>170</v>
      </c>
      <c r="G8" s="59">
        <f>G7*694.4</f>
        <v>1805.44</v>
      </c>
      <c r="J8" s="57"/>
      <c r="K8" s="59"/>
    </row>
    <row r="9" spans="1:11" x14ac:dyDescent="0.2">
      <c r="A9" s="57" t="s">
        <v>170</v>
      </c>
      <c r="B9" s="59">
        <f>B8/448.8</f>
        <v>24.064171122994651</v>
      </c>
      <c r="C9" s="54" t="s">
        <v>19</v>
      </c>
      <c r="F9" s="57" t="s">
        <v>170</v>
      </c>
      <c r="G9" s="59">
        <f>G8/448.8</f>
        <v>4.0228163992869872</v>
      </c>
      <c r="J9" s="57"/>
      <c r="K9" s="59"/>
    </row>
    <row r="10" spans="1:11" x14ac:dyDescent="0.2">
      <c r="A10" s="57" t="s">
        <v>169</v>
      </c>
      <c r="B10" s="57">
        <f>B9/((B6^2)*PI()/4)</f>
        <v>4.5912541929444055</v>
      </c>
      <c r="F10" s="57" t="s">
        <v>169</v>
      </c>
      <c r="G10" s="57">
        <f>G9/((G6^2)*PI()/4)</f>
        <v>0.7675216638990322</v>
      </c>
      <c r="J10" s="57"/>
      <c r="K10" s="57"/>
    </row>
    <row r="11" spans="1:11" x14ac:dyDescent="0.2">
      <c r="A11" s="59"/>
      <c r="B11" s="59"/>
      <c r="F11" s="59"/>
      <c r="G11" s="59"/>
      <c r="J11" s="59"/>
      <c r="K11" s="59"/>
    </row>
    <row r="12" spans="1:11" ht="14.25" x14ac:dyDescent="0.2">
      <c r="A12" s="57" t="s">
        <v>168</v>
      </c>
      <c r="B12" s="55">
        <f>B10/((32.2*B6)^0.5)</f>
        <v>0.50340320954255735</v>
      </c>
      <c r="F12" s="57" t="s">
        <v>168</v>
      </c>
      <c r="G12" s="55">
        <f>G10/((32.2*G6)^0.5)</f>
        <v>8.4154100984862479E-2</v>
      </c>
      <c r="H12" s="54" t="s">
        <v>17</v>
      </c>
      <c r="J12" s="57"/>
      <c r="K12" s="55"/>
    </row>
    <row r="13" spans="1:11" x14ac:dyDescent="0.2">
      <c r="A13" s="57"/>
      <c r="B13" s="59"/>
      <c r="F13" s="57"/>
      <c r="G13" s="59"/>
      <c r="J13" s="57"/>
      <c r="K13" s="59"/>
    </row>
    <row r="14" spans="1:11" x14ac:dyDescent="0.2">
      <c r="A14" s="57" t="s">
        <v>165</v>
      </c>
      <c r="B14" s="57" t="s">
        <v>167</v>
      </c>
      <c r="F14" s="57" t="s">
        <v>165</v>
      </c>
      <c r="G14" s="57" t="s">
        <v>167</v>
      </c>
      <c r="J14" s="57"/>
      <c r="K14" s="57"/>
    </row>
    <row r="15" spans="1:11" ht="14.25" x14ac:dyDescent="0.2">
      <c r="A15" s="57" t="s">
        <v>165</v>
      </c>
      <c r="B15" s="57" t="s">
        <v>166</v>
      </c>
      <c r="F15" s="57" t="s">
        <v>165</v>
      </c>
      <c r="G15" s="57" t="s">
        <v>166</v>
      </c>
      <c r="J15" s="57"/>
      <c r="K15" s="57"/>
    </row>
    <row r="16" spans="1:11" x14ac:dyDescent="0.2">
      <c r="A16" s="57" t="s">
        <v>165</v>
      </c>
      <c r="B16" s="55">
        <f>B6*(1+2.3*B12)</f>
        <v>5.5743154757859621</v>
      </c>
      <c r="C16" s="54" t="s">
        <v>17</v>
      </c>
      <c r="F16" s="57" t="s">
        <v>165</v>
      </c>
      <c r="G16" s="55">
        <f>G6*(1+2.3*G12)</f>
        <v>3.083309164870649</v>
      </c>
      <c r="H16" s="54" t="s">
        <v>17</v>
      </c>
      <c r="J16" s="57"/>
      <c r="K16" s="55"/>
    </row>
    <row r="17" spans="1:11" x14ac:dyDescent="0.2">
      <c r="A17" s="57" t="s">
        <v>165</v>
      </c>
      <c r="B17" s="60">
        <f>B16*12</f>
        <v>66.891785709431545</v>
      </c>
      <c r="C17" s="54" t="s">
        <v>164</v>
      </c>
      <c r="F17" s="59"/>
      <c r="G17" s="59"/>
      <c r="J17" s="59"/>
      <c r="K17" s="59"/>
    </row>
    <row r="18" spans="1:11" ht="25.5" x14ac:dyDescent="0.2">
      <c r="A18" s="58" t="s">
        <v>163</v>
      </c>
      <c r="B18" s="57" t="s">
        <v>162</v>
      </c>
      <c r="F18" s="58" t="s">
        <v>163</v>
      </c>
      <c r="G18" s="57" t="s">
        <v>162</v>
      </c>
      <c r="J18" s="58"/>
      <c r="K18" s="57"/>
    </row>
    <row r="19" spans="1:11" ht="25.5" x14ac:dyDescent="0.2">
      <c r="A19" s="58" t="s">
        <v>161</v>
      </c>
      <c r="B19" s="55">
        <f>0.5*B6</f>
        <v>1.29165</v>
      </c>
      <c r="C19" s="54" t="s">
        <v>17</v>
      </c>
      <c r="F19" s="58" t="s">
        <v>161</v>
      </c>
      <c r="G19" s="55">
        <f>0.5*G6</f>
        <v>1.29165</v>
      </c>
      <c r="H19" s="54" t="s">
        <v>17</v>
      </c>
      <c r="J19" s="58"/>
      <c r="K19" s="55"/>
    </row>
    <row r="20" spans="1:11" x14ac:dyDescent="0.2">
      <c r="A20" s="57" t="s">
        <v>160</v>
      </c>
      <c r="F20" s="57" t="s">
        <v>160</v>
      </c>
      <c r="J20" s="57"/>
    </row>
    <row r="21" spans="1:11" x14ac:dyDescent="0.2">
      <c r="A21" s="57" t="s">
        <v>178</v>
      </c>
      <c r="B21" s="105">
        <f>B16+B19</f>
        <v>6.8659654757859618</v>
      </c>
      <c r="F21" s="57" t="s">
        <v>178</v>
      </c>
      <c r="G21" s="63">
        <f>G16+G19</f>
        <v>4.3749591648706492</v>
      </c>
      <c r="J21" s="57"/>
    </row>
    <row r="22" spans="1:11" x14ac:dyDescent="0.2">
      <c r="A22" s="57" t="s">
        <v>221</v>
      </c>
      <c r="B22" s="106">
        <v>5169.82</v>
      </c>
      <c r="F22" s="57"/>
      <c r="J22" s="57"/>
    </row>
    <row r="23" spans="1:11" x14ac:dyDescent="0.2">
      <c r="A23" s="57" t="s">
        <v>178</v>
      </c>
      <c r="B23" s="105">
        <f>B21+B22</f>
        <v>5176.6859654757855</v>
      </c>
      <c r="F23" s="57"/>
      <c r="J23" s="57"/>
    </row>
    <row r="24" spans="1:11" x14ac:dyDescent="0.2">
      <c r="A24" s="57"/>
      <c r="F24" s="57"/>
      <c r="J24" s="57"/>
    </row>
    <row r="25" spans="1:11" x14ac:dyDescent="0.2">
      <c r="A25" s="57"/>
      <c r="F25" s="57"/>
      <c r="J25" s="57"/>
    </row>
    <row r="26" spans="1:11" ht="25.5" x14ac:dyDescent="0.2">
      <c r="A26" s="56" t="s">
        <v>159</v>
      </c>
      <c r="B26" s="57" t="s">
        <v>158</v>
      </c>
      <c r="F26" s="56" t="s">
        <v>159</v>
      </c>
      <c r="G26" s="57" t="s">
        <v>158</v>
      </c>
      <c r="J26" s="56"/>
      <c r="K26" s="57"/>
    </row>
    <row r="27" spans="1:11" ht="25.5" x14ac:dyDescent="0.2">
      <c r="A27" s="56" t="s">
        <v>157</v>
      </c>
      <c r="B27" s="55">
        <f>0.75*B6</f>
        <v>1.9374750000000001</v>
      </c>
      <c r="C27" s="54" t="s">
        <v>17</v>
      </c>
      <c r="F27" s="56" t="s">
        <v>157</v>
      </c>
      <c r="G27" s="55">
        <f>0.75*G6</f>
        <v>1.9374750000000001</v>
      </c>
      <c r="H27" s="54" t="s">
        <v>17</v>
      </c>
      <c r="J27" s="56"/>
      <c r="K27" s="55"/>
    </row>
    <row r="28" spans="1:11" x14ac:dyDescent="0.2">
      <c r="A28" s="57"/>
      <c r="B28" s="54"/>
      <c r="F28" s="57"/>
      <c r="G28" s="54"/>
      <c r="J28" s="57"/>
      <c r="K28" s="54"/>
    </row>
    <row r="29" spans="1:11" x14ac:dyDescent="0.2">
      <c r="A29" s="56" t="s">
        <v>155</v>
      </c>
      <c r="B29" s="57" t="s">
        <v>156</v>
      </c>
      <c r="F29" s="56" t="s">
        <v>155</v>
      </c>
      <c r="G29" s="57" t="s">
        <v>156</v>
      </c>
      <c r="J29" s="56"/>
      <c r="K29" s="57"/>
    </row>
    <row r="30" spans="1:11" x14ac:dyDescent="0.2">
      <c r="A30" s="56" t="s">
        <v>155</v>
      </c>
      <c r="B30" s="55">
        <f>2*B6</f>
        <v>5.1665999999999999</v>
      </c>
      <c r="F30" s="56" t="s">
        <v>155</v>
      </c>
      <c r="G30" s="55">
        <f>2*G6</f>
        <v>5.1665999999999999</v>
      </c>
      <c r="J30" s="56"/>
      <c r="K30" s="55"/>
    </row>
    <row r="31" spans="1:11" x14ac:dyDescent="0.2">
      <c r="A31" s="53" t="s">
        <v>153</v>
      </c>
      <c r="B31" s="54" t="s">
        <v>154</v>
      </c>
      <c r="F31" s="53" t="s">
        <v>153</v>
      </c>
      <c r="G31" s="54" t="s">
        <v>154</v>
      </c>
      <c r="J31" s="53"/>
      <c r="K31" s="54"/>
    </row>
    <row r="32" spans="1:11" x14ac:dyDescent="0.2">
      <c r="A32" s="53" t="s">
        <v>153</v>
      </c>
      <c r="B32" s="52">
        <f>5*B6</f>
        <v>12.916499999999999</v>
      </c>
      <c r="F32" s="53" t="s">
        <v>153</v>
      </c>
      <c r="G32" s="52">
        <f>5*G6</f>
        <v>12.916499999999999</v>
      </c>
      <c r="J32" s="53"/>
      <c r="K32" s="52"/>
    </row>
  </sheetData>
  <sheetProtection algorithmName="SHA-512" hashValue="mVbenfChjbzxtc04wd78UC5U5YMnNGOAH4a0x3MzBnsQsaqDrehgbxpwe/cZjkSUsLlvldgHz+rFk/eeU2CkQw==" saltValue="3mGx/b66kzic1HRS50GvWw==" spinCount="100000" sheet="1" objects="1" scenarios="1" selectLockedCells="1" selectUnlockedCells="1"/>
  <customSheetViews>
    <customSheetView guid="{DD12DCA6-AC95-44E9-85FD-88104CF4D155}" scale="60" showPageBreaks="1" view="pageBreakPreview">
      <selection activeCell="H32" sqref="A1:H32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5" zoomScale="60" zoomScaleNormal="110" workbookViewId="0">
      <selection activeCell="U33" sqref="U33"/>
    </sheetView>
  </sheetViews>
  <sheetFormatPr defaultRowHeight="15" x14ac:dyDescent="0.25"/>
  <sheetData/>
  <sheetProtection algorithmName="SHA-512" hashValue="HdxhwLDS4jaaqwNcv3KLJUe40jtR2DguKLZXw3qkRkl8zKWskpG3dFyD+9dcqwBmcZbU8lcFu76n9Fw2N4Llog==" saltValue="wg3s7v4KVzId1FZgkrZi2A==" spinCount="100000" sheet="1" objects="1" scenarios="1" selectLockedCells="1" selectUnlockedCells="1"/>
  <customSheetViews>
    <customSheetView guid="{DD12DCA6-AC95-44E9-85FD-88104CF4D155}" scale="60" showPageBreaks="1" view="pageBreakPreview" topLeftCell="A5">
      <selection activeCell="U33" sqref="U33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zoomScaleNormal="100" workbookViewId="0">
      <selection activeCell="U28" sqref="U28"/>
    </sheetView>
  </sheetViews>
  <sheetFormatPr defaultRowHeight="15" x14ac:dyDescent="0.25"/>
  <sheetData/>
  <sheetProtection algorithmName="SHA-512" hashValue="cCc40QdiN+wV7vjpAGgwfg2Zzjs2WuZfMvghDvBWLG4YwZnRllZtxJPHh3AorwqDd++U/nBpuzvfax/EUvgbrQ==" saltValue="BNcWrQ8NwMNrQ9UzdliF/A==" spinCount="100000" sheet="1" objects="1" scenarios="1" selectLockedCells="1" selectUnlockedCells="1"/>
  <customSheetViews>
    <customSheetView guid="{DD12DCA6-AC95-44E9-85FD-88104CF4D155}" scale="60" showPageBreaks="1" view="pageBreakPreview">
      <selection activeCell="U28" sqref="U28"/>
      <pageMargins left="0.7" right="0.7" top="0.75" bottom="0.75" header="0.3" footer="0.3"/>
    </customSheetView>
  </customSheetView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Charts</vt:lpstr>
      </vt:variant>
      <vt:variant>
        <vt:i4>1</vt:i4>
      </vt:variant>
    </vt:vector>
  </HeadingPairs>
  <TitlesOfParts>
    <vt:vector size="11" baseType="lpstr">
      <vt:lpstr>Pump Info</vt:lpstr>
      <vt:lpstr>Pump Curve Scans</vt:lpstr>
      <vt:lpstr>BWR Sys Curve - Existing</vt:lpstr>
      <vt:lpstr>BWR Sys Curve - Rep w 24" IPS</vt:lpstr>
      <vt:lpstr>BWR Sys Curve - Rep w 24" DIPS</vt:lpstr>
      <vt:lpstr>Recovery Wet Well Calcs</vt:lpstr>
      <vt:lpstr>HI Standard</vt:lpstr>
      <vt:lpstr>BPS Drawings</vt:lpstr>
      <vt:lpstr>EQ Basin Cad Image</vt:lpstr>
      <vt:lpstr>BWR Sys Curve - Replace 20" Sec</vt:lpstr>
      <vt:lpstr>System and Pumping Curves</vt:lpstr>
    </vt:vector>
  </TitlesOfParts>
  <Company>HDR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Rowbotham, Brian</dc:creator>
  <cp:lastModifiedBy>Peter Champion</cp:lastModifiedBy>
  <cp:lastPrinted>2020-02-21T17:09:01Z</cp:lastPrinted>
  <dcterms:created xsi:type="dcterms:W3CDTF">2016-11-08T23:47:15Z</dcterms:created>
  <dcterms:modified xsi:type="dcterms:W3CDTF">2020-02-21T17:32:40Z</dcterms:modified>
</cp:coreProperties>
</file>